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rtinezla\My Documents\2021 SENIOR FSS\RU Provider Directory\"/>
    </mc:Choice>
  </mc:AlternateContent>
  <xr:revisionPtr revIDLastSave="0" documentId="13_ncr:1_{FD2DDFF0-51C2-42DB-9B6B-D38F92ED20D4}" xr6:coauthVersionLast="36" xr6:coauthVersionMax="36" xr10:uidLastSave="{00000000-0000-0000-0000-000000000000}"/>
  <bookViews>
    <workbookView xWindow="0" yWindow="0" windowWidth="16260" windowHeight="13095" xr2:uid="{C7B705D1-7C70-4734-AE0C-DD83613E55DC}"/>
  </bookViews>
  <sheets>
    <sheet name="MHS" sheetId="1" r:id="rId1"/>
  </sheets>
  <definedNames>
    <definedName name="_xlnm._FilterDatabase" localSheetId="0" hidden="1">MHS!$A$1:$C$3531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31" i="1" l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<sst xmlns="http://schemas.openxmlformats.org/spreadsheetml/2006/main" count="7063" uniqueCount="6935">
  <si>
    <t>RU #</t>
  </si>
  <si>
    <t xml:space="preserve">RU LONG NAME </t>
  </si>
  <si>
    <t>RU SHORT NAME</t>
  </si>
  <si>
    <t xml:space="preserve">CRESTWOOD ANGWIN DAY SNF      </t>
  </si>
  <si>
    <t xml:space="preserve">CRSTWD ANGW                   </t>
  </si>
  <si>
    <t xml:space="preserve">CRESTWOOD FREMONT DAY SNF     </t>
  </si>
  <si>
    <t xml:space="preserve">CRSTWD FRMT                   </t>
  </si>
  <si>
    <t xml:space="preserve">CRESTWOOD MODESTO DAY SNF     </t>
  </si>
  <si>
    <t xml:space="preserve">CRESTWD MOD                   </t>
  </si>
  <si>
    <t xml:space="preserve">CRESTWOOD SAN JOSE DAY SNF    </t>
  </si>
  <si>
    <t xml:space="preserve">CRSTWD SJ                     </t>
  </si>
  <si>
    <t xml:space="preserve">CRESTWOOD STOCKTON DAY SNF    </t>
  </si>
  <si>
    <t xml:space="preserve">CRSTWD STKTN                  </t>
  </si>
  <si>
    <t xml:space="preserve">CRESTWOOD VALLEJO DAY SNF     </t>
  </si>
  <si>
    <t xml:space="preserve">CRSTWD VLLJO                  </t>
  </si>
  <si>
    <t xml:space="preserve">TELECARE GARFIELD SNF         </t>
  </si>
  <si>
    <t xml:space="preserve">GARFIELD SNF                  </t>
  </si>
  <si>
    <t xml:space="preserve">TELECARE MORTON BAKAR SNF     </t>
  </si>
  <si>
    <t xml:space="preserve">M BAKAR SNF                   </t>
  </si>
  <si>
    <t>TELECARE M BAKAR BAY AREA NEUR</t>
  </si>
  <si>
    <t xml:space="preserve">BAKAR NEURO                   </t>
  </si>
  <si>
    <t xml:space="preserve">TELECARE VILLA IMD/SNF        </t>
  </si>
  <si>
    <t xml:space="preserve">VILLA IMD                     </t>
  </si>
  <si>
    <t xml:space="preserve">SUBSTITUTE PAYEE              </t>
  </si>
  <si>
    <t xml:space="preserve">SUB PAYEE                     </t>
  </si>
  <si>
    <t xml:space="preserve">JOHN GEORGE PSY SVS INPATIENT </t>
  </si>
  <si>
    <t xml:space="preserve">JGEORGE 24HR                  </t>
  </si>
  <si>
    <t xml:space="preserve">JOHN GEORGE PSY SVS OP EMERG  </t>
  </si>
  <si>
    <t xml:space="preserve">JGEORG OP ER                  </t>
  </si>
  <si>
    <t xml:space="preserve">JOHN GEORGE PSY SVS MHS ADULT </t>
  </si>
  <si>
    <t xml:space="preserve">JGP PES VOL                   </t>
  </si>
  <si>
    <t xml:space="preserve">JOHN GEORGE PSY SVS CCRP OP   </t>
  </si>
  <si>
    <t xml:space="preserve">JGEORF CCRP                   </t>
  </si>
  <si>
    <t xml:space="preserve">HIGHLAND PSYCH SVS SCARF CM   </t>
  </si>
  <si>
    <t xml:space="preserve">HGH SCARF CM                  </t>
  </si>
  <si>
    <t xml:space="preserve">JOHN GEORGE PSY SVS EMERGENCY </t>
  </si>
  <si>
    <t xml:space="preserve">JGP PES 5150                  </t>
  </si>
  <si>
    <t>JOHN GEORGE PSY MENTOR SUPPORT</t>
  </si>
  <si>
    <t xml:space="preserve">JGP MSUPPORT                  </t>
  </si>
  <si>
    <t xml:space="preserve">BACS ALISO HOUSE              </t>
  </si>
  <si>
    <t xml:space="preserve">BACS ALISO                    </t>
  </si>
  <si>
    <t xml:space="preserve">BACS MANZANITA HOUSE          </t>
  </si>
  <si>
    <t xml:space="preserve">BACS MANZ                     </t>
  </si>
  <si>
    <t>BACS HAYWARD SOCIALIZATION CTR</t>
  </si>
  <si>
    <t xml:space="preserve">BACS HAY SOC                  </t>
  </si>
  <si>
    <t xml:space="preserve">BACS CIRCA60 FSP ADULT        </t>
  </si>
  <si>
    <t xml:space="preserve">BACS CIRCA60                  </t>
  </si>
  <si>
    <t>BACS CIRCA60 FSP ADULT PROGRAM</t>
  </si>
  <si>
    <t xml:space="preserve">BACS C60PROG                  </t>
  </si>
  <si>
    <t xml:space="preserve">BACS TOWN HOUSE               </t>
  </si>
  <si>
    <t xml:space="preserve">BACS TWN HSE                  </t>
  </si>
  <si>
    <t xml:space="preserve">BACS IRVINGTON CLC            </t>
  </si>
  <si>
    <t xml:space="preserve">BACS IRV                      </t>
  </si>
  <si>
    <t xml:space="preserve">BACS ALAMEDA CLC              </t>
  </si>
  <si>
    <t xml:space="preserve">BACS ALA                      </t>
  </si>
  <si>
    <t xml:space="preserve">BACS CASE MGMT ADULT          </t>
  </si>
  <si>
    <t xml:space="preserve">BACS CM AD                    </t>
  </si>
  <si>
    <t xml:space="preserve">BACS MHS ADULT SERVICE TEAM   </t>
  </si>
  <si>
    <t xml:space="preserve">BACS AD T1                    </t>
  </si>
  <si>
    <t>BACS SUPP INDP LIVING MHS ADLT</t>
  </si>
  <si>
    <t xml:space="preserve">BACS SIL ADL                  </t>
  </si>
  <si>
    <t>BACS ADULT MEDICATION ONLY SVS</t>
  </si>
  <si>
    <t xml:space="preserve">BACS MEDS                     </t>
  </si>
  <si>
    <t xml:space="preserve">BACS MHS ADULT PROGRAM        </t>
  </si>
  <si>
    <t xml:space="preserve">BACS PGRM                     </t>
  </si>
  <si>
    <t xml:space="preserve">PSYNERGY PROGRAMS 4612 SACTO  </t>
  </si>
  <si>
    <t xml:space="preserve">PSYNERGY SAC                  </t>
  </si>
  <si>
    <t>DIVERSITY IN HEALTH TRAING ADL</t>
  </si>
  <si>
    <t xml:space="preserve">DIVERSITY AD                  </t>
  </si>
  <si>
    <t xml:space="preserve">LA FAMILIA DAY INT            </t>
  </si>
  <si>
    <t xml:space="preserve">LAFAM DAY                     </t>
  </si>
  <si>
    <t>LAFAMILIA ROOSEVELT SCH MHS CH</t>
  </si>
  <si>
    <t xml:space="preserve">LAFAM ROSVLT                  </t>
  </si>
  <si>
    <t xml:space="preserve">LA FAMILIA UNACCOMP YOUTH MHS </t>
  </si>
  <si>
    <t xml:space="preserve">LAFAM UAY CH                  </t>
  </si>
  <si>
    <t xml:space="preserve">LA FAMILIA HAYWARD IHOT ADULT </t>
  </si>
  <si>
    <t xml:space="preserve">LAFAM IHOTAD                  </t>
  </si>
  <si>
    <t>LA FAMILIA RE-ENTRY TRTMT TEAM</t>
  </si>
  <si>
    <t xml:space="preserve">LAFAM R-TRMT                  </t>
  </si>
  <si>
    <t>LA FAMILIA CALWORKS HAYWARD AD</t>
  </si>
  <si>
    <t xml:space="preserve">LAFAM CALWKS                  </t>
  </si>
  <si>
    <t xml:space="preserve">LA FAMILIA OUTREACH           </t>
  </si>
  <si>
    <t xml:space="preserve">LAFAM OUTRCH                  </t>
  </si>
  <si>
    <t xml:space="preserve">LA FAMILIA CASE MGMT ADULT    </t>
  </si>
  <si>
    <t xml:space="preserve">LAFAM CM AD                   </t>
  </si>
  <si>
    <t xml:space="preserve">LA FAMILIA MHS ADULT SVC TEAM </t>
  </si>
  <si>
    <t xml:space="preserve">LAFAM AD T1                   </t>
  </si>
  <si>
    <t xml:space="preserve">LA FAMILIA MHS CHILD          </t>
  </si>
  <si>
    <t xml:space="preserve">LAFAM MHS CH                  </t>
  </si>
  <si>
    <t xml:space="preserve">LA FAMILIA DAY MHS CHILD      </t>
  </si>
  <si>
    <t xml:space="preserve">LAFAM DY MHS                  </t>
  </si>
  <si>
    <t xml:space="preserve">LA FAMILIA EPSDT MHS CHILD    </t>
  </si>
  <si>
    <t xml:space="preserve">LA FAM EPSDT                  </t>
  </si>
  <si>
    <t xml:space="preserve">LA FAMILIA ARS MHS CH 0-5     </t>
  </si>
  <si>
    <t xml:space="preserve">LAFAM ARS0-5                  </t>
  </si>
  <si>
    <t>LA FAMILIA JOHN MUIR SC MHS CH</t>
  </si>
  <si>
    <t xml:space="preserve">LAFAM JNMUIR                  </t>
  </si>
  <si>
    <t xml:space="preserve">ACCESS MHS ADULT LA FAMILIA   </t>
  </si>
  <si>
    <t xml:space="preserve">ACCESS LAFAM                  </t>
  </si>
  <si>
    <t>LA FAMILIA MEDICATION ONLY SVS</t>
  </si>
  <si>
    <t xml:space="preserve">LAFAM MEDS                    </t>
  </si>
  <si>
    <t xml:space="preserve">LA FAMILIA MHS ADULT PROGRAM  </t>
  </si>
  <si>
    <t xml:space="preserve">LAFAM PGRM                    </t>
  </si>
  <si>
    <t xml:space="preserve">LA FAMILIA LIVERMORE CALWORKS </t>
  </si>
  <si>
    <t xml:space="preserve">LAFAM LIVMRE                  </t>
  </si>
  <si>
    <t>LA FAMILIA CALWORKS FREMONT AD</t>
  </si>
  <si>
    <t xml:space="preserve">LAFAM FREMNT                  </t>
  </si>
  <si>
    <t xml:space="preserve">OAKLAND MHS ADULT             </t>
  </si>
  <si>
    <t xml:space="preserve">OAKLD MHS AD                  </t>
  </si>
  <si>
    <t>OAKLAND URG CARE TLTH PILOT AD</t>
  </si>
  <si>
    <t xml:space="preserve">OAK-UC-TLTH                   </t>
  </si>
  <si>
    <t xml:space="preserve">OAKLAND MHS CHILD             </t>
  </si>
  <si>
    <t xml:space="preserve">OAKLD MHS CH                  </t>
  </si>
  <si>
    <t xml:space="preserve">OAKLAND MHS CHILD REFERRAL    </t>
  </si>
  <si>
    <t xml:space="preserve">OAKLAND REF                   </t>
  </si>
  <si>
    <t xml:space="preserve">EAST OAKLAND CASE MGMT ADULT  </t>
  </si>
  <si>
    <t xml:space="preserve">E OAK CM AD                   </t>
  </si>
  <si>
    <t xml:space="preserve">EAST OAKLAND CASE MGMT CHILD  </t>
  </si>
  <si>
    <t xml:space="preserve">E OAK CM CH                   </t>
  </si>
  <si>
    <t xml:space="preserve">EAST OAKLAND DAY INT          </t>
  </si>
  <si>
    <t xml:space="preserve">E OAK DX INT                  </t>
  </si>
  <si>
    <t xml:space="preserve">OAKLAND DAY REHAB ADULT       </t>
  </si>
  <si>
    <t xml:space="preserve">OAK DAY RHAB                  </t>
  </si>
  <si>
    <t xml:space="preserve">OAKLAND GART MHS ADULT        </t>
  </si>
  <si>
    <t xml:space="preserve">OAKLAND GART                  </t>
  </si>
  <si>
    <t>OAKLAND VOCATIONAL REHAB ADULT</t>
  </si>
  <si>
    <t xml:space="preserve">OAK VOC ADLT                  </t>
  </si>
  <si>
    <t xml:space="preserve">OAKLAND PROBATION MHS ADULT   </t>
  </si>
  <si>
    <t xml:space="preserve">OAK PROB ADL                  </t>
  </si>
  <si>
    <t>OAKLAND AD MEDICATION ONLY SVS</t>
  </si>
  <si>
    <t xml:space="preserve">OAKLAND MEDS                  </t>
  </si>
  <si>
    <t xml:space="preserve">OAKLAND CHILD MEDICATION SVCS </t>
  </si>
  <si>
    <t xml:space="preserve">OAK CHD MEDS                  </t>
  </si>
  <si>
    <t xml:space="preserve">OAKLAND LEVEL III ADULT MEDS  </t>
  </si>
  <si>
    <t xml:space="preserve">OAK LEV3MEDS                  </t>
  </si>
  <si>
    <t xml:space="preserve">OAKLAND MHS ADULT PROGRAM     </t>
  </si>
  <si>
    <t xml:space="preserve">OAKLAND PGRM                  </t>
  </si>
  <si>
    <t xml:space="preserve">OAKLAND ADULT SERVICE TEAM 1  </t>
  </si>
  <si>
    <t xml:space="preserve">OAKL TEAM 1                   </t>
  </si>
  <si>
    <t xml:space="preserve">OAKLAND ADULT SERVICE TEAM 2  </t>
  </si>
  <si>
    <t xml:space="preserve">OAKL TEAM 2                   </t>
  </si>
  <si>
    <t xml:space="preserve">OAKLAND ADULT SERVICE TEAM 3  </t>
  </si>
  <si>
    <t xml:space="preserve">OAKL TEAM 3                   </t>
  </si>
  <si>
    <t>FAMILYPATHS CALWKS MHS ALAMEDA</t>
  </si>
  <si>
    <t xml:space="preserve">FAMPTH ALMDA                  </t>
  </si>
  <si>
    <t xml:space="preserve">BERKELEY PLACE 24HR RES       </t>
  </si>
  <si>
    <t xml:space="preserve">BERK PL 24HR                  </t>
  </si>
  <si>
    <t xml:space="preserve">BONITA HOUSE 24HR RES         </t>
  </si>
  <si>
    <t xml:space="preserve">BONITA 24HR                   </t>
  </si>
  <si>
    <t xml:space="preserve">BONITA HOUSE CASE MGMT ADULT  </t>
  </si>
  <si>
    <t xml:space="preserve">BONITA CM AD                  </t>
  </si>
  <si>
    <t xml:space="preserve">BONITA HOUSE MHS AD SVC TEAM  </t>
  </si>
  <si>
    <t xml:space="preserve">BONITA AD T1                  </t>
  </si>
  <si>
    <t xml:space="preserve">BONITA HOUSE 24HR RES-GRANT   </t>
  </si>
  <si>
    <t xml:space="preserve">BONITA-GRANT                  </t>
  </si>
  <si>
    <t xml:space="preserve">BONITA  ADULT MEDICATION ONLY </t>
  </si>
  <si>
    <t xml:space="preserve">BONITA MED                    </t>
  </si>
  <si>
    <t xml:space="preserve">BONITA MHS ADULT PROGRAM      </t>
  </si>
  <si>
    <t xml:space="preserve">BONITA PGRM                   </t>
  </si>
  <si>
    <t xml:space="preserve">EDEN MHS ADULT                </t>
  </si>
  <si>
    <t xml:space="preserve">EDEN MHS AD                   </t>
  </si>
  <si>
    <t xml:space="preserve">EDEN MHS CHILD                </t>
  </si>
  <si>
    <t xml:space="preserve">EDEN MHS CH                   </t>
  </si>
  <si>
    <t xml:space="preserve">EDEN MHS CHILD REFERRAL       </t>
  </si>
  <si>
    <t xml:space="preserve">EDEN REF                      </t>
  </si>
  <si>
    <t xml:space="preserve">EDEN CASE MGMT ADULT          </t>
  </si>
  <si>
    <t xml:space="preserve">EDEN CM AD                    </t>
  </si>
  <si>
    <t xml:space="preserve">EDEN CASE MGMT CHILD          </t>
  </si>
  <si>
    <t xml:space="preserve">EDEN CM CH                    </t>
  </si>
  <si>
    <t xml:space="preserve">EDEN DAY INT                  </t>
  </si>
  <si>
    <t xml:space="preserve">EDEN DX INT                   </t>
  </si>
  <si>
    <t xml:space="preserve">EDEN DAY REHAB                </t>
  </si>
  <si>
    <t xml:space="preserve">EDEN DY RHAB                  </t>
  </si>
  <si>
    <t>EDEN SURVIVAL SKILLS MHS CHILD</t>
  </si>
  <si>
    <t xml:space="preserve">EDEN SS MHCH                  </t>
  </si>
  <si>
    <t xml:space="preserve">EDEN DAY MENTAL HEALTH SVS    </t>
  </si>
  <si>
    <t xml:space="preserve">EDEN DAY MHS                  </t>
  </si>
  <si>
    <t>EDEN VOCATIONAL REHAB MHS ADLT</t>
  </si>
  <si>
    <t xml:space="preserve">EDEN VOC ADL                  </t>
  </si>
  <si>
    <t>EDEN ADULT MEDICATION ONLY SVS</t>
  </si>
  <si>
    <t xml:space="preserve">EDEN MEDS                     </t>
  </si>
  <si>
    <t>EDEN CHILD MEDICATION ONLY SVS</t>
  </si>
  <si>
    <t xml:space="preserve">EDEN CHDMEDS                  </t>
  </si>
  <si>
    <t xml:space="preserve">EDEN MHS ADULT PROGRAM        </t>
  </si>
  <si>
    <t xml:space="preserve">EDEN PGRM                     </t>
  </si>
  <si>
    <t xml:space="preserve">EDEN MHS ADULT SERVICE TEAM 1 </t>
  </si>
  <si>
    <t xml:space="preserve">EDEN AD T1                    </t>
  </si>
  <si>
    <t xml:space="preserve">EDEN MHS ADULT SERVICE TEAM 2 </t>
  </si>
  <si>
    <t xml:space="preserve">EDEN AD T2                    </t>
  </si>
  <si>
    <t xml:space="preserve">TELECARE VILLA DAY SNF AUG    </t>
  </si>
  <si>
    <t xml:space="preserve">VILLA SNFAUG                  </t>
  </si>
  <si>
    <t>TELECARE VILLA DAY SNFAUG HIST</t>
  </si>
  <si>
    <t xml:space="preserve">VILLA SNF HX                  </t>
  </si>
  <si>
    <t xml:space="preserve">CONTINUING CARE CM HOUSING AD </t>
  </si>
  <si>
    <t xml:space="preserve">CC CM HSG AD                  </t>
  </si>
  <si>
    <t xml:space="preserve">CONTINUING CARE CM PLACMNT AD </t>
  </si>
  <si>
    <t xml:space="preserve">CC CM PLC AD                  </t>
  </si>
  <si>
    <t xml:space="preserve">CONTINUING CARE CM SR OTRCH   </t>
  </si>
  <si>
    <t xml:space="preserve">CC CM SR OR                   </t>
  </si>
  <si>
    <t xml:space="preserve">CONTINUING CARE CM SRP        </t>
  </si>
  <si>
    <t xml:space="preserve">CC CM SRP                     </t>
  </si>
  <si>
    <t xml:space="preserve">CONTINUING CARE HOUSING MHS   </t>
  </si>
  <si>
    <t xml:space="preserve">CC HSG MHS                    </t>
  </si>
  <si>
    <t xml:space="preserve">CONTINUING CARE PLACEMENT MHS </t>
  </si>
  <si>
    <t xml:space="preserve">CC PLCMT MHS                  </t>
  </si>
  <si>
    <t xml:space="preserve">CONTINUING CARE SRP MHS       </t>
  </si>
  <si>
    <t xml:space="preserve">CC SRP MHS                    </t>
  </si>
  <si>
    <t xml:space="preserve">CONTINUING CARE OR HISTORY    </t>
  </si>
  <si>
    <t xml:space="preserve">CC OR HIST                    </t>
  </si>
  <si>
    <t xml:space="preserve">BACS AMBER HOUSE CRISIS RESID </t>
  </si>
  <si>
    <t xml:space="preserve">BACS AH CRR                   </t>
  </si>
  <si>
    <t xml:space="preserve">BACS AMBER HOUSE MEDS SUPPORT </t>
  </si>
  <si>
    <t xml:space="preserve">BACSAHMEDSUP                  </t>
  </si>
  <si>
    <t>LINCOLN ALLENDALE ELEM SCH CHD</t>
  </si>
  <si>
    <t xml:space="preserve">LINC ALLENDA                  </t>
  </si>
  <si>
    <t xml:space="preserve">BOSS BERKELEY                 </t>
  </si>
  <si>
    <t xml:space="preserve">BOSS BERK                     </t>
  </si>
  <si>
    <t xml:space="preserve">BOSS OAKLAND                  </t>
  </si>
  <si>
    <t xml:space="preserve">BOSS SO CO                    </t>
  </si>
  <si>
    <t xml:space="preserve">BOSS Creative Living Center   </t>
  </si>
  <si>
    <t xml:space="preserve">BOSS CLC                      </t>
  </si>
  <si>
    <t xml:space="preserve">GUID NON-ELG STATUS MHS CHILD </t>
  </si>
  <si>
    <t xml:space="preserve">GUIDMHS NONS                  </t>
  </si>
  <si>
    <t xml:space="preserve">DEPENDENT CHILD MHS           </t>
  </si>
  <si>
    <t xml:space="preserve">DEP CHLD MHS                  </t>
  </si>
  <si>
    <t xml:space="preserve">ADOLESCENT SEX OFFENDER MHS   </t>
  </si>
  <si>
    <t xml:space="preserve">ADOL SEX MHS                  </t>
  </si>
  <si>
    <t xml:space="preserve">GUID ELIG STATUS MHS CHILD    </t>
  </si>
  <si>
    <t xml:space="preserve">GUIDMHS ELGS                  </t>
  </si>
  <si>
    <t>GUID ELIG STATUS DY INTEN FULL</t>
  </si>
  <si>
    <t xml:space="preserve">GUID DY ELGS                  </t>
  </si>
  <si>
    <t xml:space="preserve">GUIDANCE UNIT 1 DAY MHS CHILD </t>
  </si>
  <si>
    <t xml:space="preserve">GUID UN1 MED                  </t>
  </si>
  <si>
    <t>GUID NON-ELG STATUS DY INTENFL</t>
  </si>
  <si>
    <t xml:space="preserve">GUID DY NONS                  </t>
  </si>
  <si>
    <t>GUID COURT ORDERED EVALS MH CH</t>
  </si>
  <si>
    <t xml:space="preserve">GUID CRTEVAL                  </t>
  </si>
  <si>
    <t xml:space="preserve">CENTRAL OAKLAND MHS ADULT     </t>
  </si>
  <si>
    <t xml:space="preserve">C OAK MHS AD                  </t>
  </si>
  <si>
    <t xml:space="preserve">SENIOR OUTPATIENT             </t>
  </si>
  <si>
    <t xml:space="preserve">SR OP                         </t>
  </si>
  <si>
    <t xml:space="preserve">CENTRAL OAK CS MGMT ADULT     </t>
  </si>
  <si>
    <t xml:space="preserve">C OAK CM AD                   </t>
  </si>
  <si>
    <t>SENECA BURCKHALTER ELEM SCH CH</t>
  </si>
  <si>
    <t xml:space="preserve">SENBURCKSCHL                  </t>
  </si>
  <si>
    <t xml:space="preserve">TRI-CITY MHS ADULT SVC TEAM   </t>
  </si>
  <si>
    <t xml:space="preserve">TRICTY AD T1                  </t>
  </si>
  <si>
    <t xml:space="preserve">TRI-CITY MHS CHILD            </t>
  </si>
  <si>
    <t xml:space="preserve">TRI-C CHILD                   </t>
  </si>
  <si>
    <t xml:space="preserve">TRI-CITY MHS CHILD REFERRAL   </t>
  </si>
  <si>
    <t xml:space="preserve">TRIC REF                      </t>
  </si>
  <si>
    <t xml:space="preserve">TRI-CITY CASE MGMT ADULT      </t>
  </si>
  <si>
    <t xml:space="preserve">TRI CM AD                     </t>
  </si>
  <si>
    <t xml:space="preserve">TRI-CITY CASE MGMT CHILD      </t>
  </si>
  <si>
    <t xml:space="preserve">TRI CM CH                     </t>
  </si>
  <si>
    <t>TRI-CITY CRISIS RESPONSE ADULT</t>
  </si>
  <si>
    <t xml:space="preserve">TRI-C CRISIS                  </t>
  </si>
  <si>
    <t>TRI-CITY VOCATIONAL REHAB ADLT</t>
  </si>
  <si>
    <t xml:space="preserve">TRI VOC ADLT                  </t>
  </si>
  <si>
    <t>TRI-CITY ADULT MEDICATION ONLY</t>
  </si>
  <si>
    <t xml:space="preserve">TRICITY MEDS                  </t>
  </si>
  <si>
    <t>TRI-CITY CHILD MEDICATION SVCS</t>
  </si>
  <si>
    <t xml:space="preserve">TRI-C CHMEDS                  </t>
  </si>
  <si>
    <t xml:space="preserve">TRI-CITY LEVEL III ADULT MEDS </t>
  </si>
  <si>
    <t xml:space="preserve">TRICTYL3MEDS                  </t>
  </si>
  <si>
    <t>TRI-CITY PILOT URGNT CARE MEDS</t>
  </si>
  <si>
    <t xml:space="preserve">TRI-C UCMEDS                  </t>
  </si>
  <si>
    <t xml:space="preserve">TRI-CITY MHS ADULT PROGRAM    </t>
  </si>
  <si>
    <t xml:space="preserve">TRI CTY PGRM                  </t>
  </si>
  <si>
    <t xml:space="preserve">LINCOLN MLK ELEMENTARY CESDC  </t>
  </si>
  <si>
    <t xml:space="preserve">LINCMLKCESDC                  </t>
  </si>
  <si>
    <t xml:space="preserve">LINCOLN MCCLYMONDS HS CESDC   </t>
  </si>
  <si>
    <t xml:space="preserve">LINC MCCLYHS                  </t>
  </si>
  <si>
    <t xml:space="preserve">RANDON HOUSE 24HR LONG TERM   </t>
  </si>
  <si>
    <t xml:space="preserve">RANDON 24HR                   </t>
  </si>
  <si>
    <t>STARS FRANKLIN ELEM SCH MHS CH</t>
  </si>
  <si>
    <t xml:space="preserve">STARSFRANKLI                  </t>
  </si>
  <si>
    <t xml:space="preserve">LA CHEIM 24HR STANLEY         </t>
  </si>
  <si>
    <t xml:space="preserve">LACHM STANLY                  </t>
  </si>
  <si>
    <t>LA CHEIM DY RICHMOND SCH INTHF</t>
  </si>
  <si>
    <t xml:space="preserve">LCHMRICHHFDY                  </t>
  </si>
  <si>
    <t xml:space="preserve">LA CHEIM RICHMOND SCH CH MHS  </t>
  </si>
  <si>
    <t xml:space="preserve">LCHMRICHM MH                  </t>
  </si>
  <si>
    <t>LA CHEIM DAY ALVARADO INT FULL</t>
  </si>
  <si>
    <t xml:space="preserve">LACHM ALVFUL                  </t>
  </si>
  <si>
    <t xml:space="preserve">LA CHEIM ALVARADO DAY MHS     </t>
  </si>
  <si>
    <t xml:space="preserve">LCHM ALV MHS                  </t>
  </si>
  <si>
    <t>LA CHEIM DAY OAK PARK INT FULL</t>
  </si>
  <si>
    <t xml:space="preserve">LACHM OP FUL                  </t>
  </si>
  <si>
    <t xml:space="preserve">LA CHEIM OAK PARK DAY MHS     </t>
  </si>
  <si>
    <t xml:space="preserve">LCHM OP MHS                   </t>
  </si>
  <si>
    <t>LA CHEIM EPSDTOAK PARK INT DAY</t>
  </si>
  <si>
    <t xml:space="preserve">LA C EP OP                    </t>
  </si>
  <si>
    <t xml:space="preserve">LA CHEIM DAY OAKLAND INT HALF </t>
  </si>
  <si>
    <t xml:space="preserve">LACHEIM OAKL                  </t>
  </si>
  <si>
    <t>LA CHEIM EPSDT OAKLAND DAY INT</t>
  </si>
  <si>
    <t xml:space="preserve">LACH OAKL EP                  </t>
  </si>
  <si>
    <t xml:space="preserve">LA CHEIM 24HR OHLSEN          </t>
  </si>
  <si>
    <t xml:space="preserve">LACHM OHLSEN                  </t>
  </si>
  <si>
    <t xml:space="preserve">LA CHEIM DAY OAKLAND INT FULL </t>
  </si>
  <si>
    <t xml:space="preserve">LACH OAKL FL                  </t>
  </si>
  <si>
    <t>LA CHEIM DY ANTIOCH SCH INT HF</t>
  </si>
  <si>
    <t xml:space="preserve">LCHMHFDYANTI                  </t>
  </si>
  <si>
    <t xml:space="preserve">LA CHEIM ANTIOCH HS SCH MHS   </t>
  </si>
  <si>
    <t xml:space="preserve">LCHM ANTI MH                  </t>
  </si>
  <si>
    <t>LA CHEIM DY ANTIOCH SCH FL INT</t>
  </si>
  <si>
    <t xml:space="preserve">LCHMFLDYANTI                  </t>
  </si>
  <si>
    <t>LA CHEIM DY RICHMOND SCH FLINT</t>
  </si>
  <si>
    <t xml:space="preserve">LCHMRICHFLDY                  </t>
  </si>
  <si>
    <t>LA CHEIM RICHMOND NPSCE MH CHD</t>
  </si>
  <si>
    <t xml:space="preserve">LACHM NPSCE                   </t>
  </si>
  <si>
    <t xml:space="preserve">LA CHEIM TBS MHS CHILD        </t>
  </si>
  <si>
    <t xml:space="preserve">LACHM TBS CH                  </t>
  </si>
  <si>
    <t xml:space="preserve">LA CHEIM DAY ALVARADO INT     </t>
  </si>
  <si>
    <t xml:space="preserve">LACHM ALVINT                  </t>
  </si>
  <si>
    <t xml:space="preserve">LA CHEIM DAY SERRA INT        </t>
  </si>
  <si>
    <t xml:space="preserve">LACHM SERINT                  </t>
  </si>
  <si>
    <t xml:space="preserve">LA CHEIM DAY OAK PARK INT     </t>
  </si>
  <si>
    <t xml:space="preserve">LACHM OP INT                  </t>
  </si>
  <si>
    <t xml:space="preserve">LA CHEIM DAY ALAMEDA HAB      </t>
  </si>
  <si>
    <t xml:space="preserve">LACHM ALAHAB                  </t>
  </si>
  <si>
    <t xml:space="preserve">LA CHEIM DAY ALBANY HAB       </t>
  </si>
  <si>
    <t xml:space="preserve">LACHM ALBHAB                  </t>
  </si>
  <si>
    <t xml:space="preserve">LA CHEIM DAY MHS CHILD        </t>
  </si>
  <si>
    <t xml:space="preserve">LACHM D MHS                   </t>
  </si>
  <si>
    <t xml:space="preserve">ANN MARTIN CHILDREN CTR MHS   </t>
  </si>
  <si>
    <t xml:space="preserve">A MARTIN MHS                  </t>
  </si>
  <si>
    <t>ANN MARTIN ALLENDLE SCH MHS CH</t>
  </si>
  <si>
    <t xml:space="preserve">AMART ALNDLE                  </t>
  </si>
  <si>
    <t xml:space="preserve">ANN MARTIN MHS CHILD SCHOOL   </t>
  </si>
  <si>
    <t xml:space="preserve">AMART MH SCH                  </t>
  </si>
  <si>
    <t xml:space="preserve">ANN MARTIN LAKEVIEW MHS       </t>
  </si>
  <si>
    <t xml:space="preserve">A MARTIN LVW                  </t>
  </si>
  <si>
    <t xml:space="preserve">ANN MARTIN FREMONT HS MHS CH  </t>
  </si>
  <si>
    <t xml:space="preserve">AMART FRE HS                  </t>
  </si>
  <si>
    <t xml:space="preserve">ANN MARTIN OAK TECH HS MHS CH </t>
  </si>
  <si>
    <t xml:space="preserve">AMART OK TEC                  </t>
  </si>
  <si>
    <t>ANN MARTIN FRANKLIN SCH MHS CH</t>
  </si>
  <si>
    <t xml:space="preserve">AMART FRNKLI                  </t>
  </si>
  <si>
    <t>ANN MARTIN MAXWELL PARK SCH MH</t>
  </si>
  <si>
    <t xml:space="preserve">AMART MXPARK                  </t>
  </si>
  <si>
    <t xml:space="preserve">ANN MARTIN HOWARD SCH MHS CH  </t>
  </si>
  <si>
    <t xml:space="preserve">AMART HOWARD                  </t>
  </si>
  <si>
    <t>ANN MARTIN BRKFIELD SCH MHS CH</t>
  </si>
  <si>
    <t xml:space="preserve">AMART BRKFLD                  </t>
  </si>
  <si>
    <t xml:space="preserve">PACIFIC CHILD'S CTR DAY INT   </t>
  </si>
  <si>
    <t xml:space="preserve">PAC CH DXINT                  </t>
  </si>
  <si>
    <t>BACS AMBER HOUSE CRISIS STABIL</t>
  </si>
  <si>
    <t xml:space="preserve">BACS AH CSU                   </t>
  </si>
  <si>
    <t xml:space="preserve">VALLEY MHS ADULT SERVICE TEAM </t>
  </si>
  <si>
    <t xml:space="preserve">VALLEY AD T1                  </t>
  </si>
  <si>
    <t xml:space="preserve">VALLEY MHS CHILD              </t>
  </si>
  <si>
    <t xml:space="preserve">VALLEY MH CH                  </t>
  </si>
  <si>
    <t xml:space="preserve">VALLEY MHS CHILD REFERRAL     </t>
  </si>
  <si>
    <t xml:space="preserve">VALLEY REF                    </t>
  </si>
  <si>
    <t xml:space="preserve">VALLEY CASE MGMT ADULT        </t>
  </si>
  <si>
    <t xml:space="preserve">VALLEY CM AD                  </t>
  </si>
  <si>
    <t xml:space="preserve">VALLEY CASE MGMT CHILD        </t>
  </si>
  <si>
    <t xml:space="preserve">VALLEY CM CH                  </t>
  </si>
  <si>
    <t>VALLEY MENDENHALL SCH EPSDT DY</t>
  </si>
  <si>
    <t xml:space="preserve">MENDENHAL DY                  </t>
  </si>
  <si>
    <t>VALLEY MENDENHALL SCH EPSDT MH</t>
  </si>
  <si>
    <t xml:space="preserve">MENDENHAL MH                  </t>
  </si>
  <si>
    <t xml:space="preserve">VALLEY DUBLIN HIGH SCH DAY    </t>
  </si>
  <si>
    <t xml:space="preserve">DUBLIN HI SC                  </t>
  </si>
  <si>
    <t>VALLEY VOCATIONAL REHAB MH ADL</t>
  </si>
  <si>
    <t xml:space="preserve">VALLEY VOCAD                  </t>
  </si>
  <si>
    <t xml:space="preserve">VALLEY ADULT MEDICATION ONLY  </t>
  </si>
  <si>
    <t xml:space="preserve">VALLEY MEDS                   </t>
  </si>
  <si>
    <t xml:space="preserve">VALLEY CHILD MEDICATION SVCS  </t>
  </si>
  <si>
    <t xml:space="preserve">VALLEY CHMED                  </t>
  </si>
  <si>
    <t xml:space="preserve">VALLEY PILOT URGENT CARE MEDS </t>
  </si>
  <si>
    <t xml:space="preserve">VALLEY UCMED                  </t>
  </si>
  <si>
    <t xml:space="preserve">VALLEY MHS ADULT PROGRAM      </t>
  </si>
  <si>
    <t xml:space="preserve">VALLEY PGRM                   </t>
  </si>
  <si>
    <t xml:space="preserve">VOCATIONAL WORKSHOP TRAINING  </t>
  </si>
  <si>
    <t xml:space="preserve">VOC DX WKSH                   </t>
  </si>
  <si>
    <t xml:space="preserve">VOCATIONAL WORK EXPERIENCE    </t>
  </si>
  <si>
    <t xml:space="preserve">VOC WK EXP                    </t>
  </si>
  <si>
    <t xml:space="preserve">VOCATIONAL PROGRAM MHS ADULT  </t>
  </si>
  <si>
    <t xml:space="preserve">VOC MHS ADLT                  </t>
  </si>
  <si>
    <t>VOC PROG SPECIAL MHS &amp; AOD SVC</t>
  </si>
  <si>
    <t xml:space="preserve">VOC AOD                       </t>
  </si>
  <si>
    <t>VOCATIONAL PROGRAM CALWORKS MH</t>
  </si>
  <si>
    <t xml:space="preserve">VOC CALWKS                    </t>
  </si>
  <si>
    <t>STARS EAST OAKLAND PRIDE MH CH</t>
  </si>
  <si>
    <t xml:space="preserve">STARS EOPRID                  </t>
  </si>
  <si>
    <t xml:space="preserve">CIRCLE PRESCHOOL DAY INT      </t>
  </si>
  <si>
    <t xml:space="preserve">CIRCLE DXINT                  </t>
  </si>
  <si>
    <t xml:space="preserve">MENTAL HLTH ASSOC ADVOCACY    </t>
  </si>
  <si>
    <t xml:space="preserve">MH ASSOC ADV                  </t>
  </si>
  <si>
    <t xml:space="preserve">VALLEY MEMORIAL HOSPITAL MHS  </t>
  </si>
  <si>
    <t xml:space="preserve">VAL MEM MHS                   </t>
  </si>
  <si>
    <t>EBAC MARKHAM ELEMENTARY MH CHL</t>
  </si>
  <si>
    <t xml:space="preserve">EBACMARKHAME                  </t>
  </si>
  <si>
    <t xml:space="preserve">SENECA SEQUOIA ELEM SCH CESDC </t>
  </si>
  <si>
    <t xml:space="preserve">SENSEQCESDC                   </t>
  </si>
  <si>
    <t>SENECA THINK COLLEGE NOW MH CH</t>
  </si>
  <si>
    <t xml:space="preserve">SEN TCN MHCH                  </t>
  </si>
  <si>
    <t>SENECA PLACE PRESCOTT ELEM CHL</t>
  </si>
  <si>
    <t xml:space="preserve">SENECAPRESEL                  </t>
  </si>
  <si>
    <t>BONITA HOUSE BERK WELL CTR ADL</t>
  </si>
  <si>
    <t xml:space="preserve">BONITA BWCTR                  </t>
  </si>
  <si>
    <t>A BETTER WAY PIEDMONT ELEM SCH</t>
  </si>
  <si>
    <t xml:space="preserve">ABW PIEDMONT                  </t>
  </si>
  <si>
    <t xml:space="preserve">M BAKAR  SNF                  </t>
  </si>
  <si>
    <t xml:space="preserve">TELECARE GARFIELD SNF HISTORY </t>
  </si>
  <si>
    <t xml:space="preserve">GARFLD SNFHX                  </t>
  </si>
  <si>
    <t xml:space="preserve">EBAC CASTLEMONT HS CHLD CESDC </t>
  </si>
  <si>
    <t xml:space="preserve">EBAC CASTLMT                  </t>
  </si>
  <si>
    <t>EBAC ROOSEVELT MIDSCH CH CESDC</t>
  </si>
  <si>
    <t xml:space="preserve">EBAC ROOSEVE                  </t>
  </si>
  <si>
    <t>STARS BROOKFIELD ELEM MH CHILD</t>
  </si>
  <si>
    <t xml:space="preserve">STARSBROOKEL                  </t>
  </si>
  <si>
    <t xml:space="preserve">UNITY CARE SSF TAY            </t>
  </si>
  <si>
    <t xml:space="preserve">UNITYCSSFTAY                  </t>
  </si>
  <si>
    <t xml:space="preserve">VICTOR CSS MANTECA FCAT TAY   </t>
  </si>
  <si>
    <t xml:space="preserve">VCSSMANFCTAY                  </t>
  </si>
  <si>
    <t xml:space="preserve">VICTOR CSS MANTECA TBS CHILD  </t>
  </si>
  <si>
    <t xml:space="preserve">VCSSMANTBSCH                  </t>
  </si>
  <si>
    <t xml:space="preserve">ALAMEDA MHS ADLT SERVICE TEAM </t>
  </si>
  <si>
    <t xml:space="preserve">ALA AD T1                     </t>
  </si>
  <si>
    <t xml:space="preserve">ALAMEDA MHS CHILD             </t>
  </si>
  <si>
    <t xml:space="preserve">ALA MHS CH                    </t>
  </si>
  <si>
    <t xml:space="preserve">ALAMEDA MHS CHILD REFERRAL    </t>
  </si>
  <si>
    <t xml:space="preserve">ALAMEDA REF                   </t>
  </si>
  <si>
    <t xml:space="preserve">ALAMEDA CASE MGMT ADULT       </t>
  </si>
  <si>
    <t xml:space="preserve">ALA CM AD                     </t>
  </si>
  <si>
    <t xml:space="preserve">ALAMEDA CASE MGMT CHILD       </t>
  </si>
  <si>
    <t xml:space="preserve">ALA CM CH                     </t>
  </si>
  <si>
    <t>ALAMEDA VOCATIONAL REHAB ADULT</t>
  </si>
  <si>
    <t xml:space="preserve">ALA VOC ADLT                  </t>
  </si>
  <si>
    <t xml:space="preserve">ALAMEDA ADULT MEDICATION ONLY </t>
  </si>
  <si>
    <t xml:space="preserve">ALAMEDA MEDS                  </t>
  </si>
  <si>
    <t xml:space="preserve">ALAMEDA MHS ADULT PROGRAM     </t>
  </si>
  <si>
    <t xml:space="preserve">ALAMEDA PGRM                  </t>
  </si>
  <si>
    <t>LA FAMILIA OAK INTL CLINIC CHL</t>
  </si>
  <si>
    <t xml:space="preserve">LAFAMOAKINTL                  </t>
  </si>
  <si>
    <t xml:space="preserve">CHILDREN'S HLTH COU SJ EC SCH </t>
  </si>
  <si>
    <t xml:space="preserve">CHCSJ ECSCHO                  </t>
  </si>
  <si>
    <t>QUEST EAGLE EYE STRTP CHLD TAY</t>
  </si>
  <si>
    <t xml:space="preserve">QUESTEECHTAY                  </t>
  </si>
  <si>
    <t xml:space="preserve">GREATER NEW BEG YS STRTP TAY  </t>
  </si>
  <si>
    <t xml:space="preserve">GNB STRTPTAY                  </t>
  </si>
  <si>
    <t>ROOTS COMM HLTH AFIYACARE ADLT</t>
  </si>
  <si>
    <t xml:space="preserve">ROOTS ADULT                   </t>
  </si>
  <si>
    <t>ROOTS COMM AFIYACARE ADLT PROG</t>
  </si>
  <si>
    <t xml:space="preserve">ROOTS ADLT P                  </t>
  </si>
  <si>
    <t xml:space="preserve">ROOTS COMM HLTH NIACARE ADLT  </t>
  </si>
  <si>
    <t xml:space="preserve">ROOTS NIACAR                  </t>
  </si>
  <si>
    <t xml:space="preserve">ROOTS SANTA RITA SAFE LANDING </t>
  </si>
  <si>
    <t xml:space="preserve">ROOTS SR SL                   </t>
  </si>
  <si>
    <t xml:space="preserve">UNITY CARE THE CLINIC SL TAY  </t>
  </si>
  <si>
    <t xml:space="preserve">UNITYCSL TAY                  </t>
  </si>
  <si>
    <t xml:space="preserve">SIERRA VISTA HUNTER STRTP TAY </t>
  </si>
  <si>
    <t xml:space="preserve">SVHHSTRTPTAY                  </t>
  </si>
  <si>
    <t xml:space="preserve">ASIAN MHS ADULT               </t>
  </si>
  <si>
    <t xml:space="preserve">ASIAN MHS AD                  </t>
  </si>
  <si>
    <t xml:space="preserve">ASIAN LINCOLN SCHOOL MHS      </t>
  </si>
  <si>
    <t xml:space="preserve">ASIAN LINCOL                  </t>
  </si>
  <si>
    <t xml:space="preserve">ASIAN R BUNCHE SCH MHS        </t>
  </si>
  <si>
    <t xml:space="preserve">ASIAN RBUNCH                  </t>
  </si>
  <si>
    <t xml:space="preserve">ASIAN ROOSEVELT SCH MHS       </t>
  </si>
  <si>
    <t xml:space="preserve">ASIAN ROOSEV                  </t>
  </si>
  <si>
    <t xml:space="preserve">ASIAN WESTLAKE SCH MHS        </t>
  </si>
  <si>
    <t xml:space="preserve">ASIAN WESTLK                  </t>
  </si>
  <si>
    <t xml:space="preserve">ASIAN ASCEND SCHOOL MHS       </t>
  </si>
  <si>
    <t xml:space="preserve">ASIAN ASCEND                  </t>
  </si>
  <si>
    <t xml:space="preserve">ASIAN BURCKHALTER SCH MHS     </t>
  </si>
  <si>
    <t xml:space="preserve">ASIAN BURCKH                  </t>
  </si>
  <si>
    <t xml:space="preserve">ASIAN 0-5 MHS                 </t>
  </si>
  <si>
    <t xml:space="preserve">ASIAN 0-5                     </t>
  </si>
  <si>
    <t xml:space="preserve">ASIAN LEVEL III MHS ADULT     </t>
  </si>
  <si>
    <t xml:space="preserve">ASIANMHADIII                  </t>
  </si>
  <si>
    <t xml:space="preserve">ASIAN LEVEL III MHS CHILD     </t>
  </si>
  <si>
    <t xml:space="preserve">ASIAN L3 CH                   </t>
  </si>
  <si>
    <t>ASIAN OUR KIDS WESTLAKE SCH MH</t>
  </si>
  <si>
    <t xml:space="preserve">ASIANRKDWEST                  </t>
  </si>
  <si>
    <t xml:space="preserve">ASIAN MHS CHILD               </t>
  </si>
  <si>
    <t xml:space="preserve">ASIAN MHS CH                  </t>
  </si>
  <si>
    <t>ASIAN COMMUNITY CALWKS MHS OAK</t>
  </si>
  <si>
    <t xml:space="preserve">ASIANCLWKOAK                  </t>
  </si>
  <si>
    <t xml:space="preserve">ASIAN UELP MHS CHILD ADULT    </t>
  </si>
  <si>
    <t xml:space="preserve">ASIAN UELP                    </t>
  </si>
  <si>
    <t xml:space="preserve">ASIAN MHS CHILD REFERRAL      </t>
  </si>
  <si>
    <t xml:space="preserve">ASIAN REF                     </t>
  </si>
  <si>
    <t xml:space="preserve">ASIAN CASE MGMT ADULT         </t>
  </si>
  <si>
    <t xml:space="preserve">ASIAN CM AD                   </t>
  </si>
  <si>
    <t xml:space="preserve">ASIAN EPSDT MHS CHILD         </t>
  </si>
  <si>
    <t xml:space="preserve">ASIAN EPSDT                   </t>
  </si>
  <si>
    <t xml:space="preserve">ASIAN BRET HARTE SCH MHS      </t>
  </si>
  <si>
    <t xml:space="preserve">ASIAN BHARTE                  </t>
  </si>
  <si>
    <t xml:space="preserve">ASIAN CLEVELAND SCH MHS       </t>
  </si>
  <si>
    <t xml:space="preserve">ASIAN CLEVEL                  </t>
  </si>
  <si>
    <t xml:space="preserve">ASIAN FRANKLIN SCH MHS        </t>
  </si>
  <si>
    <t xml:space="preserve">ASIAN FRANKL                  </t>
  </si>
  <si>
    <t xml:space="preserve">ASIAN HAWTHORNE SCH MHS       </t>
  </si>
  <si>
    <t xml:space="preserve">ASIAN HAWTHO                  </t>
  </si>
  <si>
    <t xml:space="preserve">ASIAN LAUREL SCHOOL MHS       </t>
  </si>
  <si>
    <t xml:space="preserve">ASIAN LAUREL                  </t>
  </si>
  <si>
    <t xml:space="preserve">ACCESS MHS ADULT ASIAN        </t>
  </si>
  <si>
    <t xml:space="preserve">ACCESS ASIAN                  </t>
  </si>
  <si>
    <t xml:space="preserve">ACCESS MHS CHILD ASIAN        </t>
  </si>
  <si>
    <t xml:space="preserve">AC CH ASIAN                   </t>
  </si>
  <si>
    <t>ASIAN ADULT MEDICATION ONLY SV</t>
  </si>
  <si>
    <t xml:space="preserve">ASIAN MEDS                    </t>
  </si>
  <si>
    <t xml:space="preserve">ASIAN MHS ADULT PROGRAM       </t>
  </si>
  <si>
    <t xml:space="preserve">ASIAN PGRM                    </t>
  </si>
  <si>
    <t xml:space="preserve">ASIAN ADULT SERVICE TEAM 1    </t>
  </si>
  <si>
    <t xml:space="preserve">ASIAN AD T1                   </t>
  </si>
  <si>
    <t xml:space="preserve">ASIAN ADULT SERVICE TEAM 2    </t>
  </si>
  <si>
    <t xml:space="preserve">ASIAN AD T2                   </t>
  </si>
  <si>
    <t>SIERRA VISTA WOODBDG STRTP TAY</t>
  </si>
  <si>
    <t xml:space="preserve">SVWCSTRTPTAY                  </t>
  </si>
  <si>
    <t>ABODE GREATER HOPE OAKLAND FSP</t>
  </si>
  <si>
    <t xml:space="preserve">ABODE GH OAK                  </t>
  </si>
  <si>
    <t>ABODE GREATER HOPE OAKFSP PROG</t>
  </si>
  <si>
    <t xml:space="preserve">ABODEGHOAKPR                  </t>
  </si>
  <si>
    <t xml:space="preserve">WEST OAKLAND MHS ADULT        </t>
  </si>
  <si>
    <t xml:space="preserve">W OAK MHS AD                  </t>
  </si>
  <si>
    <t xml:space="preserve">WEST OAKLAND EPSDT MHS CHILD  </t>
  </si>
  <si>
    <t xml:space="preserve">WOAK EPSDT M                  </t>
  </si>
  <si>
    <t xml:space="preserve">WEST OAKLAND MHS CHILD        </t>
  </si>
  <si>
    <t xml:space="preserve">W OAK MHS CH                  </t>
  </si>
  <si>
    <t>WEST OAKLAND MHS CHILD REFERRL</t>
  </si>
  <si>
    <t xml:space="preserve">WOAKL REF                     </t>
  </si>
  <si>
    <t xml:space="preserve">WEST OAKLAND DAY INT ADULT    </t>
  </si>
  <si>
    <t xml:space="preserve">WOAK DXIN AD                  </t>
  </si>
  <si>
    <t xml:space="preserve">WEST OAKLAND DAY REHAB ADULT  </t>
  </si>
  <si>
    <t xml:space="preserve">WOAK DXRH AD                  </t>
  </si>
  <si>
    <t xml:space="preserve">WEST OAKLAND DAY INT CHILD    </t>
  </si>
  <si>
    <t xml:space="preserve">WOAK DXIN CH                  </t>
  </si>
  <si>
    <t xml:space="preserve">WEST OAKLAND CASE MGMT ADULT  </t>
  </si>
  <si>
    <t xml:space="preserve">W OAK CM AD                   </t>
  </si>
  <si>
    <t>WEST OAKLAND SCHOOL OUTPT CHLD</t>
  </si>
  <si>
    <t xml:space="preserve">WO SCH OP CH                  </t>
  </si>
  <si>
    <t>WEST OAKLAND FFS MEDICATION AD</t>
  </si>
  <si>
    <t xml:space="preserve">WOAK FFS AD                   </t>
  </si>
  <si>
    <t xml:space="preserve">WEST OAKLAND MEDICATION ONLY  </t>
  </si>
  <si>
    <t xml:space="preserve">WOAKL MEDS                    </t>
  </si>
  <si>
    <t>WEST OAKLAND MHS ADULT PROGRAM</t>
  </si>
  <si>
    <t xml:space="preserve">W OAK PGRM                    </t>
  </si>
  <si>
    <t>WEST OAKLAND AD SERVICE TEAM 1</t>
  </si>
  <si>
    <t xml:space="preserve">W OAK AD T1                   </t>
  </si>
  <si>
    <t>WEST OAKLAND AD SERVICE TEAM 2</t>
  </si>
  <si>
    <t xml:space="preserve">W OAK AD T2                   </t>
  </si>
  <si>
    <t xml:space="preserve">TELECARE GLADMAN 24 HR ACUTE  </t>
  </si>
  <si>
    <t xml:space="preserve">GLADMAN ACUT                  </t>
  </si>
  <si>
    <t xml:space="preserve">TELECARE GLADMAN DAY INT      </t>
  </si>
  <si>
    <t xml:space="preserve">GLADMAN DXIN                  </t>
  </si>
  <si>
    <t xml:space="preserve">EBAC DAY INT OAKLAND          </t>
  </si>
  <si>
    <t xml:space="preserve">EBAC OAK DAY                  </t>
  </si>
  <si>
    <t xml:space="preserve">EBAC GOLDEN GATE SCH CH MHS   </t>
  </si>
  <si>
    <t xml:space="preserve">EBAC GOLDEN                   </t>
  </si>
  <si>
    <t>EBAC LOCKWOOD SCHOOL MHS CHILD</t>
  </si>
  <si>
    <t xml:space="preserve">EBAC LOCKWOO                  </t>
  </si>
  <si>
    <t xml:space="preserve">EBAC CARTER SCH SAFEP MHS CH  </t>
  </si>
  <si>
    <t xml:space="preserve">EBAC CARTER                   </t>
  </si>
  <si>
    <t xml:space="preserve">EBAC HAVENSCOURT SCH SAFEP MH </t>
  </si>
  <si>
    <t xml:space="preserve">EBAC HAVENSC                  </t>
  </si>
  <si>
    <t>EBAC WOODLAND SCHOOL MHS CHILD</t>
  </si>
  <si>
    <t xml:space="preserve">EBAC WOODLAN                  </t>
  </si>
  <si>
    <t xml:space="preserve">EBAC ASCEND SCH MHS CHILD     </t>
  </si>
  <si>
    <t xml:space="preserve">EBAC ASCEND                   </t>
  </si>
  <si>
    <t xml:space="preserve">EBAC LAFAYETTE SCH MHS CHILD  </t>
  </si>
  <si>
    <t xml:space="preserve">EBAC LAFAYET                  </t>
  </si>
  <si>
    <t xml:space="preserve">EBAC RALPH BUNCHE SCH MHS CH  </t>
  </si>
  <si>
    <t xml:space="preserve">EBAC RBUNCHE                  </t>
  </si>
  <si>
    <t xml:space="preserve">EBAC COLE SCH MHS CHILD       </t>
  </si>
  <si>
    <t xml:space="preserve">EBAC COLE MH                  </t>
  </si>
  <si>
    <t>EBAC EPSDT HAWTHORNE MHS CHILD</t>
  </si>
  <si>
    <t xml:space="preserve">HAWTHORNE                     </t>
  </si>
  <si>
    <t xml:space="preserve">EBAC EMERSON SCH MHS CHILD    </t>
  </si>
  <si>
    <t xml:space="preserve">EBAC EMERSON                  </t>
  </si>
  <si>
    <t xml:space="preserve">EBAC WASHINGTON SCH MHS CHILD </t>
  </si>
  <si>
    <t xml:space="preserve">EBAC WSHNGTN                  </t>
  </si>
  <si>
    <t xml:space="preserve">EBAC COLE SCH PSS MHS CHILD   </t>
  </si>
  <si>
    <t xml:space="preserve">EBAC COLEPSS                  </t>
  </si>
  <si>
    <t xml:space="preserve">EBAC PARK SCHOOL MHS CHILD    </t>
  </si>
  <si>
    <t xml:space="preserve">EBAC PARK SC                  </t>
  </si>
  <si>
    <t>EBAC ROYAL SUNSET SCH MHS CHLD</t>
  </si>
  <si>
    <t xml:space="preserve">EBAC RYALSUN                  </t>
  </si>
  <si>
    <t xml:space="preserve">EBAC SHEPHERD SCH MHS CHILD   </t>
  </si>
  <si>
    <t xml:space="preserve">EBAC SHEPHRD                  </t>
  </si>
  <si>
    <t xml:space="preserve">EBAC HESPERIAN SCH MHS CHILD  </t>
  </si>
  <si>
    <t xml:space="preserve">EBAC HESPRAN                  </t>
  </si>
  <si>
    <t xml:space="preserve">EBAC GLASSBROOK SCH MHS CHILD </t>
  </si>
  <si>
    <t xml:space="preserve">EBAC GLASBRK                  </t>
  </si>
  <si>
    <t xml:space="preserve">EBAC EPSDT MLK MHS CHILD      </t>
  </si>
  <si>
    <t xml:space="preserve">MLK                           </t>
  </si>
  <si>
    <t>EBAC SAFE PASSAGES FRICK SH CH</t>
  </si>
  <si>
    <t xml:space="preserve">EBACSAFPFRIK                  </t>
  </si>
  <si>
    <t xml:space="preserve">EBAC OUR KIDS BOWMAN SCH MHS  </t>
  </si>
  <si>
    <t xml:space="preserve">EBACRKIDSBOW                  </t>
  </si>
  <si>
    <t xml:space="preserve">EBAC OUR KIDS CHERRYLAND MHS  </t>
  </si>
  <si>
    <t xml:space="preserve">EBACRKDSCHER                  </t>
  </si>
  <si>
    <t xml:space="preserve">EBAC OUR KIDS HARDER SCH MHS  </t>
  </si>
  <si>
    <t xml:space="preserve">EBACRKDSHARD                  </t>
  </si>
  <si>
    <t xml:space="preserve">EBAC OUR KIDS BURBANK SCH MHS </t>
  </si>
  <si>
    <t xml:space="preserve">EBACRKDSBURB                  </t>
  </si>
  <si>
    <t>EBAC LIVERMORE MARILYN SCH MHS</t>
  </si>
  <si>
    <t xml:space="preserve">EBACMARILYSC                  </t>
  </si>
  <si>
    <t>EBAC LIVERMORE PORTOLA SCH MHS</t>
  </si>
  <si>
    <t xml:space="preserve">EBACPORT SCH                  </t>
  </si>
  <si>
    <t xml:space="preserve">EBAC PROBATION MHS CHILD      </t>
  </si>
  <si>
    <t xml:space="preserve">EBAC PROB CH                  </t>
  </si>
  <si>
    <t xml:space="preserve">EBAC SAFEPSG CLAREMONT SCH CH </t>
  </si>
  <si>
    <t xml:space="preserve">EBAC CLARMON                  </t>
  </si>
  <si>
    <t xml:space="preserve">EBAC TYRELL SCH MHS CHILD     </t>
  </si>
  <si>
    <t xml:space="preserve">EBACTYRELLOP                  </t>
  </si>
  <si>
    <t xml:space="preserve">EBAC EPSDT WHITTIER MHS CHILD </t>
  </si>
  <si>
    <t xml:space="preserve">WHITTIER                      </t>
  </si>
  <si>
    <t xml:space="preserve">EBAC DEWEY HSCHOOL MHS        </t>
  </si>
  <si>
    <t xml:space="preserve">EBAC DEWEYHS                  </t>
  </si>
  <si>
    <t xml:space="preserve">EBAC LAFAYETTE SCH INT FL DAY </t>
  </si>
  <si>
    <t xml:space="preserve">EBACLAFINTFL                  </t>
  </si>
  <si>
    <t xml:space="preserve">EBAC OAKLAND SCH MHS CHILD    </t>
  </si>
  <si>
    <t xml:space="preserve">EBAC OAK SCH                  </t>
  </si>
  <si>
    <t>EBAC GREENLEAF SCHOOL MHS CHLD</t>
  </si>
  <si>
    <t xml:space="preserve">EBAC GRNL SC                  </t>
  </si>
  <si>
    <t xml:space="preserve">EBAC COX ACADEMY MHS CHILD    </t>
  </si>
  <si>
    <t xml:space="preserve">EBAC COX SCH                  </t>
  </si>
  <si>
    <t>EBAC CONLEY SCH REHAB FL DY CH</t>
  </si>
  <si>
    <t xml:space="preserve">EBACCLY RFDY                  </t>
  </si>
  <si>
    <t>EBAC CONLEY HIGH SCHOOL MHS CH</t>
  </si>
  <si>
    <t xml:space="preserve">EBACCNLY SCH                  </t>
  </si>
  <si>
    <t>EBAC LAFAYETTE SCH MHS DT CHLD</t>
  </si>
  <si>
    <t xml:space="preserve">EBACLFYMHSDT                  </t>
  </si>
  <si>
    <t xml:space="preserve">EBAC RUDSDALE HIGH SCH MHS CH </t>
  </si>
  <si>
    <t xml:space="preserve">EBAC RDSL SC                  </t>
  </si>
  <si>
    <t>EBAC OAKLAND SCH ICE MHS CHILD</t>
  </si>
  <si>
    <t xml:space="preserve">EBAC OAK ICE                  </t>
  </si>
  <si>
    <t>EBAC EPSDT WEBSTER ACADEMY MHS</t>
  </si>
  <si>
    <t xml:space="preserve">WEBSTER ACAD                  </t>
  </si>
  <si>
    <t xml:space="preserve">EBAC OUSD ERMHS MHS CHILD     </t>
  </si>
  <si>
    <t xml:space="preserve">EBAC OUSD CH                  </t>
  </si>
  <si>
    <t xml:space="preserve">EBAC BUSD ERMHS MHS CHILD     </t>
  </si>
  <si>
    <t xml:space="preserve">EBAC BUSD CH                  </t>
  </si>
  <si>
    <t xml:space="preserve">EBAC MARCUS FOSTER SHOOL MHS  </t>
  </si>
  <si>
    <t xml:space="preserve">EBAC MF SCH                   </t>
  </si>
  <si>
    <t xml:space="preserve">EBAC LONGFELLOW ELEM SCH MHS  </t>
  </si>
  <si>
    <t xml:space="preserve">EBAC LONGF                    </t>
  </si>
  <si>
    <t xml:space="preserve">EBAC HOOVER SCH MHS CH        </t>
  </si>
  <si>
    <t xml:space="preserve">EBAC HOOVER                   </t>
  </si>
  <si>
    <t xml:space="preserve">EBAC HILLSIDE SCH MHS CHILD   </t>
  </si>
  <si>
    <t xml:space="preserve">EBAC HILLSDE                  </t>
  </si>
  <si>
    <t xml:space="preserve">LINCOLN CHILD EMERGENCY PLCMT </t>
  </si>
  <si>
    <t xml:space="preserve">LNCLN EMR PL                  </t>
  </si>
  <si>
    <t xml:space="preserve">LINCOLN CHILD EPSDT MHS       </t>
  </si>
  <si>
    <t xml:space="preserve">LIN EPSDT MH                  </t>
  </si>
  <si>
    <t>LINCOLN CHILD EPSDT DAY INT HF</t>
  </si>
  <si>
    <t xml:space="preserve">LIN EPSDT DY                  </t>
  </si>
  <si>
    <t xml:space="preserve">LINCOLN DESTINY DAY INT HALF  </t>
  </si>
  <si>
    <t xml:space="preserve">LINC DEST DY                  </t>
  </si>
  <si>
    <t xml:space="preserve">LINCOLN DESTINY MHS           </t>
  </si>
  <si>
    <t xml:space="preserve">LINC DEST MH                  </t>
  </si>
  <si>
    <t xml:space="preserve">LINCOLN MONTARA INT DAY HALF  </t>
  </si>
  <si>
    <t xml:space="preserve">LINC MONT                     </t>
  </si>
  <si>
    <t>LINCOLN EPSDT TRANSITIONAL MHS</t>
  </si>
  <si>
    <t xml:space="preserve">LIN EP TRANS                  </t>
  </si>
  <si>
    <t>LINCOLN OAKL TCH SCH DY INT CH</t>
  </si>
  <si>
    <t xml:space="preserve">LINC OAK TCH                  </t>
  </si>
  <si>
    <t xml:space="preserve">LINCOLN CHILD CRISIS RES      </t>
  </si>
  <si>
    <t xml:space="preserve">LINC CRS RES                  </t>
  </si>
  <si>
    <t xml:space="preserve">LINCOLN CHILD TBS MHS         </t>
  </si>
  <si>
    <t xml:space="preserve">LINC TBS                      </t>
  </si>
  <si>
    <t xml:space="preserve">LINCOLN CHILD DAY INT HALF    </t>
  </si>
  <si>
    <t xml:space="preserve">LINC INT HLF                  </t>
  </si>
  <si>
    <t xml:space="preserve">LINCOLN SEQUOIA SCH DY INT HF </t>
  </si>
  <si>
    <t xml:space="preserve">LINC SEQUOIA                  </t>
  </si>
  <si>
    <t>LINCOLN SIMMONS SCH INT HALFDY</t>
  </si>
  <si>
    <t xml:space="preserve">LINC SMNS DY                  </t>
  </si>
  <si>
    <t xml:space="preserve">LINCOLN CRISIS MHS CHILD      </t>
  </si>
  <si>
    <t xml:space="preserve">LINCOLNCRIS                   </t>
  </si>
  <si>
    <t xml:space="preserve">LINCOLN CLEVELAND SCH DAY INT </t>
  </si>
  <si>
    <t xml:space="preserve">LINCLEVDYINT                  </t>
  </si>
  <si>
    <t>LINCOLN LAFAYETTE SCH HALF REH</t>
  </si>
  <si>
    <t xml:space="preserve">LINLAFHLFREH                  </t>
  </si>
  <si>
    <t xml:space="preserve">LINCOLN EPSDT PRESCOTT SCH MH </t>
  </si>
  <si>
    <t xml:space="preserve">LIN EPS PRES                  </t>
  </si>
  <si>
    <t>LINCOLN LAFAYETTE SCH FL REHAB</t>
  </si>
  <si>
    <t xml:space="preserve">LINLAFAFLREH                  </t>
  </si>
  <si>
    <t>LINCOLN OPFORSUCCESS MHS CHILD</t>
  </si>
  <si>
    <t xml:space="preserve">LINC OFS MHS                  </t>
  </si>
  <si>
    <t xml:space="preserve">LINCOLN CHILD CTR RES MHS     </t>
  </si>
  <si>
    <t xml:space="preserve">LINC CHD RES                  </t>
  </si>
  <si>
    <t>LINCOLN CHD GRP HOME YTH TRANS</t>
  </si>
  <si>
    <t xml:space="preserve">LINCGPHOMTRS                  </t>
  </si>
  <si>
    <t xml:space="preserve">LINCOLN CHILD 24HR INT        </t>
  </si>
  <si>
    <t xml:space="preserve">LINCOLN 24IN                  </t>
  </si>
  <si>
    <t xml:space="preserve">LINCOLN CHILD CTR ALC         </t>
  </si>
  <si>
    <t xml:space="preserve">LINC CHD ALC                  </t>
  </si>
  <si>
    <t xml:space="preserve">LINCOLN MET WEST HS MHS CHILD </t>
  </si>
  <si>
    <t xml:space="preserve">LINC METWEST                  </t>
  </si>
  <si>
    <t>LINCOLN SANTA FE SCH MHS CHILD</t>
  </si>
  <si>
    <t xml:space="preserve">LIN STFE SCH                  </t>
  </si>
  <si>
    <t>LINCOLN ESPER/DISCOV SCHMHS CD</t>
  </si>
  <si>
    <t xml:space="preserve">LIN ESPDISC                   </t>
  </si>
  <si>
    <t xml:space="preserve">LINCOLN LAUREL SCH MHS CHILD  </t>
  </si>
  <si>
    <t xml:space="preserve">LINC LAUREL                   </t>
  </si>
  <si>
    <t>LINCOLN FRUITVALE SCH MHS CHIL</t>
  </si>
  <si>
    <t xml:space="preserve">LINCFRUITVAL                  </t>
  </si>
  <si>
    <t>LINCOLN HIGH END PLACEMENT CHD</t>
  </si>
  <si>
    <t xml:space="preserve">LINC HGENDPL                  </t>
  </si>
  <si>
    <t>LINCOLN CH CTR N HIGH RISE MHS</t>
  </si>
  <si>
    <t xml:space="preserve">LINCNEWHGHRI                  </t>
  </si>
  <si>
    <t>LINCOLN CHD CTR SCH ENGMNT MHS</t>
  </si>
  <si>
    <t xml:space="preserve">LINC ENGMTCH                  </t>
  </si>
  <si>
    <t xml:space="preserve">LINCOLN NPS-CE MHS CHILD      </t>
  </si>
  <si>
    <t xml:space="preserve">LINC NPSCECH                  </t>
  </si>
  <si>
    <t xml:space="preserve">LINCOLN CHILD DAY INT FULL    </t>
  </si>
  <si>
    <t xml:space="preserve">LINC INT FUL                  </t>
  </si>
  <si>
    <t xml:space="preserve">LINCOLN DAY MHS               </t>
  </si>
  <si>
    <t xml:space="preserve">LINC MHS                      </t>
  </si>
  <si>
    <t xml:space="preserve">LINCOLN RES MHS               </t>
  </si>
  <si>
    <t xml:space="preserve">LINC RES MHS                  </t>
  </si>
  <si>
    <t xml:space="preserve">LINCOLN TRANSITIONAL MHS      </t>
  </si>
  <si>
    <t xml:space="preserve">LINC TRANS                    </t>
  </si>
  <si>
    <t xml:space="preserve">LINCOLN DAY REHAB HALF        </t>
  </si>
  <si>
    <t xml:space="preserve">LINC REH HAL                  </t>
  </si>
  <si>
    <t>LINCOLN DESTINY DAY INT FULLCH</t>
  </si>
  <si>
    <t xml:space="preserve">LINC DEST FD                  </t>
  </si>
  <si>
    <t xml:space="preserve">FRED FINCH YOUTH CTR 24HR TRO </t>
  </si>
  <si>
    <t xml:space="preserve">FFYC TRO                      </t>
  </si>
  <si>
    <t xml:space="preserve">FFYC COOLIDGE CT MHS AD       </t>
  </si>
  <si>
    <t xml:space="preserve">FFYC COOL CT                  </t>
  </si>
  <si>
    <t xml:space="preserve">FFYC Chabot Program MH Child  </t>
  </si>
  <si>
    <t xml:space="preserve">FFYC CHABOT                   </t>
  </si>
  <si>
    <t xml:space="preserve">FRED FINCH YOUTH CTR TBS MHS  </t>
  </si>
  <si>
    <t xml:space="preserve">FFYC TBS                      </t>
  </si>
  <si>
    <t>FFYC FAMILY PARTNERSHIP MHS CH</t>
  </si>
  <si>
    <t xml:space="preserve">FFYC FAM                      </t>
  </si>
  <si>
    <t xml:space="preserve">FFYC MADISON SCH DAY REHAB CH </t>
  </si>
  <si>
    <t xml:space="preserve">FFYC MADISON                  </t>
  </si>
  <si>
    <t>FFYC OAKLAND HIGH SCH DYREH CH</t>
  </si>
  <si>
    <t xml:space="preserve">FFYC OAKL HI                  </t>
  </si>
  <si>
    <t>FFYC AFTERCARE&amp;COOLIDGE MHS CH</t>
  </si>
  <si>
    <t xml:space="preserve">FFYC AFTRCCL                  </t>
  </si>
  <si>
    <t>FFYC KING ESTATES SCH SAFEP MH</t>
  </si>
  <si>
    <t xml:space="preserve">FFYC KING ES                  </t>
  </si>
  <si>
    <t xml:space="preserve">FFYC MADISON SCH MH CH        </t>
  </si>
  <si>
    <t xml:space="preserve">FRED FINCH CASE MGMT CHILD    </t>
  </si>
  <si>
    <t xml:space="preserve">FFYC CM CH                    </t>
  </si>
  <si>
    <t>FFYC CAMPUS BASED DY INT FL CH</t>
  </si>
  <si>
    <t xml:space="preserve">FFYC CB INT                   </t>
  </si>
  <si>
    <t xml:space="preserve">FFYC YOSEMITE HSE DAY MHS CH  </t>
  </si>
  <si>
    <t xml:space="preserve">FFYC YOS MHS                  </t>
  </si>
  <si>
    <t>FFYC AVALON DAY INT FULL CHILD</t>
  </si>
  <si>
    <t xml:space="preserve">FFYC AVALON                   </t>
  </si>
  <si>
    <t xml:space="preserve">FFYC IN-HOME CRISIS MHS CHILD </t>
  </si>
  <si>
    <t xml:space="preserve">FFYC INHOME                   </t>
  </si>
  <si>
    <t xml:space="preserve">FFYC VISITING THERAPIST MHS   </t>
  </si>
  <si>
    <t xml:space="preserve">FFYC VIST MH                  </t>
  </si>
  <si>
    <t xml:space="preserve">FFYC EDNA BREWER MID SCH      </t>
  </si>
  <si>
    <t xml:space="preserve">FFYCBREWER                    </t>
  </si>
  <si>
    <t>FFYC MCCLYMONDS SCH DAY REH CH</t>
  </si>
  <si>
    <t xml:space="preserve">FFYC MAC DY                   </t>
  </si>
  <si>
    <t xml:space="preserve">FFYC CASS MHS CHILD           </t>
  </si>
  <si>
    <t xml:space="preserve">FFYC CASS CH                  </t>
  </si>
  <si>
    <t xml:space="preserve">FFYC AVALON MHS CHILD         </t>
  </si>
  <si>
    <t xml:space="preserve">FFY AVAL MHS                  </t>
  </si>
  <si>
    <t xml:space="preserve">FFYC NON PUB SCH FL DAY REHAB </t>
  </si>
  <si>
    <t xml:space="preserve">FFYCNPSDYREH                  </t>
  </si>
  <si>
    <t>FRED FINCH YOUTH CTR MHS ADULT</t>
  </si>
  <si>
    <t xml:space="preserve">FFYC MHS AD                   </t>
  </si>
  <si>
    <t>FFYC NON PUB SCH DAY MHS CHILD</t>
  </si>
  <si>
    <t xml:space="preserve">FFYCNPSDYMHS                  </t>
  </si>
  <si>
    <t xml:space="preserve">FFYC VISIT THERP PROB MHS CH  </t>
  </si>
  <si>
    <t xml:space="preserve">FFYC VT PROB                  </t>
  </si>
  <si>
    <t xml:space="preserve">FFYC OAK HILLS ACD FL DAY INT </t>
  </si>
  <si>
    <t xml:space="preserve">FFYCOHAFLDYI                  </t>
  </si>
  <si>
    <t xml:space="preserve">FFYC OAK HILLS ACADEMY DY MHS </t>
  </si>
  <si>
    <t xml:space="preserve">FFYCOHADYMHS                  </t>
  </si>
  <si>
    <t>FFYC MONTERA SCH FL DAY REH CH</t>
  </si>
  <si>
    <t xml:space="preserve">FFYC MONTERA                  </t>
  </si>
  <si>
    <t xml:space="preserve">FFYC STAY FSP TAY             </t>
  </si>
  <si>
    <t xml:space="preserve">FFYCSTAY TAY                  </t>
  </si>
  <si>
    <t xml:space="preserve">FFYC MONTERA SCH MHS DT CHILD </t>
  </si>
  <si>
    <t xml:space="preserve">FFYC MONTMHS                  </t>
  </si>
  <si>
    <t xml:space="preserve">FFYC OAKLAND HSCH MHS CHILD   </t>
  </si>
  <si>
    <t xml:space="preserve">FFYC OAK MHS                  </t>
  </si>
  <si>
    <t>FFYC OUR KIDS BRENKWITZ SCH CD</t>
  </si>
  <si>
    <t xml:space="preserve">FFY RKDSBREN                  </t>
  </si>
  <si>
    <t>FFYC OUR KIDS BRET HARTE CHILD</t>
  </si>
  <si>
    <t xml:space="preserve">FFYRKDSBR HT                  </t>
  </si>
  <si>
    <t>FRED FINCH YOUTH CTR MHS CHILD</t>
  </si>
  <si>
    <t xml:space="preserve">FFYC MHS CH                   </t>
  </si>
  <si>
    <t xml:space="preserve">FFYC OUR KIDS OCHOA MHS CHILD </t>
  </si>
  <si>
    <t xml:space="preserve">FFYRKDSOCHOA                  </t>
  </si>
  <si>
    <t xml:space="preserve">FFYC SUNRISE SCH FL DAY REHAB </t>
  </si>
  <si>
    <t xml:space="preserve">FFYCSNRDYREH                  </t>
  </si>
  <si>
    <t xml:space="preserve">FFYC EXPLORE PREP SCH MHS CH  </t>
  </si>
  <si>
    <t xml:space="preserve">FFYCEXPLMHS                   </t>
  </si>
  <si>
    <t>FFYC MELROSE ACADEMY MHS CHILD</t>
  </si>
  <si>
    <t xml:space="preserve">FFYCMELRMHS                   </t>
  </si>
  <si>
    <t>FFYC MONTERA SCH BASED MHS CHD</t>
  </si>
  <si>
    <t xml:space="preserve">FFYC MONTCHD                  </t>
  </si>
  <si>
    <t>FFYC COOLIDGE TRNSITION MH TAY</t>
  </si>
  <si>
    <t xml:space="preserve">FFYC MH TAY                   </t>
  </si>
  <si>
    <t>FFYC OAKLAND HIGH SCH MHS CHLD</t>
  </si>
  <si>
    <t xml:space="preserve">FFYC OAKHSCH                  </t>
  </si>
  <si>
    <t xml:space="preserve">FFYC AVALON NPS-CE MHS CHILD  </t>
  </si>
  <si>
    <t xml:space="preserve">FFYCAVLN NPS                  </t>
  </si>
  <si>
    <t xml:space="preserve">FFYC RISING HARTE MHS CHILD   </t>
  </si>
  <si>
    <t xml:space="preserve">FFYC RHARTE                   </t>
  </si>
  <si>
    <t>FRED FINCH YOUTH CTR DAY REHAB</t>
  </si>
  <si>
    <t xml:space="preserve">FFYC DAY REH                  </t>
  </si>
  <si>
    <t xml:space="preserve">FRED FINCH DESTINY DAY REHAB  </t>
  </si>
  <si>
    <t xml:space="preserve">FFYC DEST DY                  </t>
  </si>
  <si>
    <t xml:space="preserve">FRED FINCH DESTINY MHS        </t>
  </si>
  <si>
    <t xml:space="preserve">FFYC DEST MH                  </t>
  </si>
  <si>
    <t>FRED FINCH EPSDT DY REHAB FULL</t>
  </si>
  <si>
    <t xml:space="preserve">FFYC EPSDT                    </t>
  </si>
  <si>
    <t xml:space="preserve">FFYC EAST BAY WRAP FSP CHILD  </t>
  </si>
  <si>
    <t xml:space="preserve">FFYC FSP CHD                  </t>
  </si>
  <si>
    <t xml:space="preserve">FFYC EAST BAY WRAP FSP REF    </t>
  </si>
  <si>
    <t xml:space="preserve">FFYCEBW FSPR                  </t>
  </si>
  <si>
    <t xml:space="preserve">FFYC STAY FSP TAY PROGRAM     </t>
  </si>
  <si>
    <t xml:space="preserve">FFYC STAY PR                  </t>
  </si>
  <si>
    <t>CRISIS SUPPORT SVC ALACO OTRCH</t>
  </si>
  <si>
    <t xml:space="preserve">CRISIS OTRCH                  </t>
  </si>
  <si>
    <t xml:space="preserve">CONSERVATORSHIP CONT CARE SUP </t>
  </si>
  <si>
    <t xml:space="preserve">CONSV CCSS                    </t>
  </si>
  <si>
    <t xml:space="preserve">LA CLINICA MHS ADULT SVC TEAM </t>
  </si>
  <si>
    <t xml:space="preserve">LACLIN AD T1                  </t>
  </si>
  <si>
    <t xml:space="preserve">LA CLINICA MHS CHILD          </t>
  </si>
  <si>
    <t xml:space="preserve">LACLIN MH CH                  </t>
  </si>
  <si>
    <t>LA CLINICA  MHS CHILD REFERRAL</t>
  </si>
  <si>
    <t xml:space="preserve">LACLIN REF                    </t>
  </si>
  <si>
    <t xml:space="preserve">LA CLINICA CASE MGMT ADULT    </t>
  </si>
  <si>
    <t xml:space="preserve">LACLIN CM AD                  </t>
  </si>
  <si>
    <t xml:space="preserve">LA CLINICA SAN LORENZO HS MHS </t>
  </si>
  <si>
    <t xml:space="preserve">LACLIN SLZHS                  </t>
  </si>
  <si>
    <t xml:space="preserve">ACCESS MHS ADULT LA CLINICA   </t>
  </si>
  <si>
    <t xml:space="preserve">ACCESS LACLN                  </t>
  </si>
  <si>
    <t xml:space="preserve">ACCESS MHS CHILD LA CLINICA   </t>
  </si>
  <si>
    <t xml:space="preserve">AC CH LA CLN                  </t>
  </si>
  <si>
    <t>LA CLINICA MEDICATION ONLY SVS</t>
  </si>
  <si>
    <t xml:space="preserve">LACLIN MEDS                   </t>
  </si>
  <si>
    <t xml:space="preserve">LA CLINICA MHS ADULT PROGRAM  </t>
  </si>
  <si>
    <t xml:space="preserve">LACLIN PGRM                   </t>
  </si>
  <si>
    <t>PARENTAL STRESS MENTL HLTH SVS</t>
  </si>
  <si>
    <t xml:space="preserve">PAR ST MHS                    </t>
  </si>
  <si>
    <t>PARENTAL STRESS HAYWARD MHS CH</t>
  </si>
  <si>
    <t xml:space="preserve">PA ST CLDHAY                  </t>
  </si>
  <si>
    <t>FAMILYPATH INC OAK III MHS ADL</t>
  </si>
  <si>
    <t xml:space="preserve">FAMPTHL3OKAD                  </t>
  </si>
  <si>
    <t xml:space="preserve">FAMILYPATH INC OAK III MHS CH </t>
  </si>
  <si>
    <t xml:space="preserve">FAMPTL3OAKCH                  </t>
  </si>
  <si>
    <t>FAMILYPATHS CALWKS MHS OAKLAND</t>
  </si>
  <si>
    <t xml:space="preserve">FAMPTCLWKOAK                  </t>
  </si>
  <si>
    <t>FAMILYPATHS CALWKS MHS EASTMNT</t>
  </si>
  <si>
    <t xml:space="preserve">FAMPTCLWKESM                  </t>
  </si>
  <si>
    <t>PARENTAL STRESS CSE MGMT ADULT</t>
  </si>
  <si>
    <t xml:space="preserve">PAR ST CM AD                  </t>
  </si>
  <si>
    <t>PARENTAL STRESS EPSDT MHS CHLD</t>
  </si>
  <si>
    <t xml:space="preserve">PAR ST EPSDT                  </t>
  </si>
  <si>
    <t>FAMILYPATH INC OAKLAND MHS ADL</t>
  </si>
  <si>
    <t xml:space="preserve">FAMPTH ADOAK                  </t>
  </si>
  <si>
    <t xml:space="preserve">FAMILYPATH INC OAKLAND MHS CH </t>
  </si>
  <si>
    <t xml:space="preserve">FAMPTH CHOAK                  </t>
  </si>
  <si>
    <t>PARENTAL STRESS FREMONT MHS AD</t>
  </si>
  <si>
    <t xml:space="preserve">PAR ST ADFRE                  </t>
  </si>
  <si>
    <t>PARENTAL STRESS FREMONT MHS CH</t>
  </si>
  <si>
    <t xml:space="preserve">PR ST CLDFRE                  </t>
  </si>
  <si>
    <t>PARENTAL STRESS HAYWARD MHS AD</t>
  </si>
  <si>
    <t xml:space="preserve">PAR ST ADHAY                  </t>
  </si>
  <si>
    <t>BAYAREA YOUTH CTR CALAVERAS MH</t>
  </si>
  <si>
    <t xml:space="preserve">BAYC CALAVER                  </t>
  </si>
  <si>
    <t xml:space="preserve">BAY AREA YOUTH CTR ESSER MHS  </t>
  </si>
  <si>
    <t xml:space="preserve">BAYC ESSER                    </t>
  </si>
  <si>
    <t>BAYAREA YOUTH CTR GENERATN MHS</t>
  </si>
  <si>
    <t xml:space="preserve">BAYC GENERAT                  </t>
  </si>
  <si>
    <t>BAY AREA YOUTH CTR PATRICK MHS</t>
  </si>
  <si>
    <t xml:space="preserve">BAYC PATRICK                  </t>
  </si>
  <si>
    <t xml:space="preserve">OPPORTUNITY PLUS I CHILD MHS  </t>
  </si>
  <si>
    <t xml:space="preserve">OPP PLUS I                    </t>
  </si>
  <si>
    <t xml:space="preserve">OPPORTUNITY PLUS II CHILD MHS </t>
  </si>
  <si>
    <t xml:space="preserve">OPP PLUS II                   </t>
  </si>
  <si>
    <t>R&amp;R TAFT EDUCATIONL HOME CH MH</t>
  </si>
  <si>
    <t xml:space="preserve">R&amp;R TAFT MHS                  </t>
  </si>
  <si>
    <t>R&amp;R WALL EDUCATIONL HOME CH MH</t>
  </si>
  <si>
    <t xml:space="preserve">R&amp;R WALL MHS                  </t>
  </si>
  <si>
    <t xml:space="preserve">REFUGE GARDEN MHS CHILD       </t>
  </si>
  <si>
    <t xml:space="preserve">REFUGE GARDN                  </t>
  </si>
  <si>
    <t xml:space="preserve">OAKLAND SCHOOLS BUNCHE MHS CH </t>
  </si>
  <si>
    <t xml:space="preserve">OAK BUNCHE                    </t>
  </si>
  <si>
    <t xml:space="preserve">OAK SCHOOLS CLEVELAND MHS CH  </t>
  </si>
  <si>
    <t xml:space="preserve">OAK SCH CLEV                  </t>
  </si>
  <si>
    <t>OAKLAND HILLSIDE SCH MHS CHILD</t>
  </si>
  <si>
    <t xml:space="preserve">OUSDHILLSIDE                  </t>
  </si>
  <si>
    <t xml:space="preserve">OAKLAND SCHOOLS MLK MHS CHILD </t>
  </si>
  <si>
    <t xml:space="preserve">OAK MLK SCH                   </t>
  </si>
  <si>
    <t xml:space="preserve">OAKLAND SCHOOLS MUNCK MHS CH  </t>
  </si>
  <si>
    <t xml:space="preserve">OAK C MUNCK                   </t>
  </si>
  <si>
    <t xml:space="preserve">OAK SCHOOLS LAFAYETTE MHS CH  </t>
  </si>
  <si>
    <t xml:space="preserve">OAK LAFAYETT                  </t>
  </si>
  <si>
    <t>OAKLAND SCHOOLS SIMMONS MHS CH</t>
  </si>
  <si>
    <t xml:space="preserve">OAK SIMMONS                   </t>
  </si>
  <si>
    <t xml:space="preserve">OAKLAND SCHOOLS LOWELL MHS CH </t>
  </si>
  <si>
    <t xml:space="preserve">OAK LOWELL                    </t>
  </si>
  <si>
    <t>OAKLAND SCHOOLS FREMONT MHS CH</t>
  </si>
  <si>
    <t xml:space="preserve">OAK FREMONT                   </t>
  </si>
  <si>
    <t>OAKLAND SCHOOL OAK TECH MHS CH</t>
  </si>
  <si>
    <t xml:space="preserve">OAK OAK TECH                  </t>
  </si>
  <si>
    <t xml:space="preserve">OAKLAND SCHOOLS FRICK MHS CH  </t>
  </si>
  <si>
    <t xml:space="preserve">OAK FRICK MH                  </t>
  </si>
  <si>
    <t>OAKLAND SCHOOLS EDNA BREWER MH</t>
  </si>
  <si>
    <t xml:space="preserve">OAK EBREWER                   </t>
  </si>
  <si>
    <t xml:space="preserve">LIFELONG MED CARE MH ADULT    </t>
  </si>
  <si>
    <t xml:space="preserve">LIFELONG MHS                  </t>
  </si>
  <si>
    <t xml:space="preserve">ALTA BATES CRISIS STAB ADOL   </t>
  </si>
  <si>
    <t xml:space="preserve">ALTABATES CS                  </t>
  </si>
  <si>
    <t xml:space="preserve">EBAC SEQUOIA SCHOOL MHS CH    </t>
  </si>
  <si>
    <t xml:space="preserve">EBAC SEQUOIA                  </t>
  </si>
  <si>
    <t xml:space="preserve">EBAC SEQUOIA SCH REH FL DAY   </t>
  </si>
  <si>
    <t xml:space="preserve">EBACSEQ RFDY                  </t>
  </si>
  <si>
    <t xml:space="preserve">EBAC SEQUOIA SCH MHS DT CHILD </t>
  </si>
  <si>
    <t xml:space="preserve">EBACSEQMHSDT                  </t>
  </si>
  <si>
    <t>EBAC SEQUOIA SCH ICE MHS CHILD</t>
  </si>
  <si>
    <t xml:space="preserve">EBACSEQ ICE                   </t>
  </si>
  <si>
    <t xml:space="preserve">FFYC BRET HARTE SCHOOL MHS CH </t>
  </si>
  <si>
    <t xml:space="preserve">FFYC BHARTE                   </t>
  </si>
  <si>
    <t>FFYC BHARTE WLKESY FLDY REH CH</t>
  </si>
  <si>
    <t xml:space="preserve">FFYC WLKFLDY                  </t>
  </si>
  <si>
    <t xml:space="preserve">FFYC BHARTE WLKESY MHS CHILD  </t>
  </si>
  <si>
    <t xml:space="preserve">FFYC WLKMHCH                  </t>
  </si>
  <si>
    <t>FFYC BHART MNTRAESY R FLDY CHL</t>
  </si>
  <si>
    <t xml:space="preserve">FFYC MNTRFDY                  </t>
  </si>
  <si>
    <t xml:space="preserve">FFYC BHART MNTRAESY MHS CHILD </t>
  </si>
  <si>
    <t xml:space="preserve">FFYC MNTRMHS                  </t>
  </si>
  <si>
    <t>FFYC MONTERA ESY SBBH MHS CHLD</t>
  </si>
  <si>
    <t xml:space="preserve">FFYC MTRASBB                  </t>
  </si>
  <si>
    <t xml:space="preserve">FFYC BHARTE MID SCH I-CESDC   </t>
  </si>
  <si>
    <t xml:space="preserve">FFYC I-CESDC                  </t>
  </si>
  <si>
    <t>ANN MARTIN PIEDMONT AV SCH MHS</t>
  </si>
  <si>
    <t xml:space="preserve">AM PIEDMONT                   </t>
  </si>
  <si>
    <t xml:space="preserve">ACHIEVE MHS CHILD             </t>
  </si>
  <si>
    <t xml:space="preserve">ACHIEVE MHS                   </t>
  </si>
  <si>
    <t>VICTOR N VALLEY DY INT FULL CH</t>
  </si>
  <si>
    <t xml:space="preserve">VICTOR DAY                    </t>
  </si>
  <si>
    <t xml:space="preserve">VICTOR N VALLEY MHS CHILD     </t>
  </si>
  <si>
    <t xml:space="preserve">VICTOR MHS                    </t>
  </si>
  <si>
    <t>VICTOR N VALLEY DY REH FULL CH</t>
  </si>
  <si>
    <t xml:space="preserve">VICTOR DYREH                  </t>
  </si>
  <si>
    <t xml:space="preserve">SO CO CRISIS RESP PRGM MHS AD </t>
  </si>
  <si>
    <t xml:space="preserve">SO CO CRISIS                  </t>
  </si>
  <si>
    <t>SO CO CRISIS RESP LIVERMORE AD</t>
  </si>
  <si>
    <t xml:space="preserve">LIV CRISIS                    </t>
  </si>
  <si>
    <t xml:space="preserve">SO CO CRISIS RESP FREMONT AD  </t>
  </si>
  <si>
    <t xml:space="preserve">FREMONT CRIS                  </t>
  </si>
  <si>
    <t xml:space="preserve">SO CO CRISIS POST CRISIS TEAM </t>
  </si>
  <si>
    <t xml:space="preserve">SO CO POSTCR                  </t>
  </si>
  <si>
    <t>SO CO CRISIS FAMILIAR FACES TM</t>
  </si>
  <si>
    <t xml:space="preserve">SO CO FAMFAC                  </t>
  </si>
  <si>
    <t>SO CO CRISIS COMM CONNECTIONTM</t>
  </si>
  <si>
    <t xml:space="preserve">SO CO CCONCT                  </t>
  </si>
  <si>
    <t xml:space="preserve">CRESTWOOD MOWRY AVE DAY SNF   </t>
  </si>
  <si>
    <t xml:space="preserve">CRSTWD DYSNF                  </t>
  </si>
  <si>
    <t xml:space="preserve">TELECARE VILLA MHRC SHORTSTAY </t>
  </si>
  <si>
    <t xml:space="preserve">TELVILLASHOR                  </t>
  </si>
  <si>
    <t>TELECARE VILLA FLEX UNIT ADULT</t>
  </si>
  <si>
    <t xml:space="preserve">TEL VILLAFLX                  </t>
  </si>
  <si>
    <t xml:space="preserve">SUNNYHILLS CHILD GRDN MHS CH  </t>
  </si>
  <si>
    <t xml:space="preserve">SHCG GRDN MH                  </t>
  </si>
  <si>
    <t>SUNNY HILLS CH GRDN REH 1/2 DY</t>
  </si>
  <si>
    <t xml:space="preserve">SHCG REH 1/2                  </t>
  </si>
  <si>
    <t>SUNNYHILLS CH GRDN INT 1/2 DAY</t>
  </si>
  <si>
    <t xml:space="preserve">SHCG INT 1/2                  </t>
  </si>
  <si>
    <t xml:space="preserve">SUNNY HILLS CHILD GARDEN TBS  </t>
  </si>
  <si>
    <t xml:space="preserve">SHCG GRDNTBS                  </t>
  </si>
  <si>
    <t xml:space="preserve">SUNNY HILLS THRESHOLD MHS CH  </t>
  </si>
  <si>
    <t xml:space="preserve">SHILLS TH MH                  </t>
  </si>
  <si>
    <t xml:space="preserve">SUNNY HILLS THRESH INT DAY FL </t>
  </si>
  <si>
    <t xml:space="preserve">SHILLS TH DY                  </t>
  </si>
  <si>
    <t>SUNNYHILLS VIVIAN CT DY INT FL</t>
  </si>
  <si>
    <t xml:space="preserve">SHCG VIV DY                   </t>
  </si>
  <si>
    <t xml:space="preserve">SUNNY HILLS VIVIAN CT DAY MHS </t>
  </si>
  <si>
    <t xml:space="preserve">SHCG VIV MH                   </t>
  </si>
  <si>
    <t>SUNNYHILLS VIVIAN CT REH FL DY</t>
  </si>
  <si>
    <t xml:space="preserve">SHCGVIVREHFL                  </t>
  </si>
  <si>
    <t>FAMILIES FIRST DAY INT FULL CH</t>
  </si>
  <si>
    <t xml:space="preserve">FFIRST DAYIN                  </t>
  </si>
  <si>
    <t>FAMILIES FIRST DAY REH FULL CH</t>
  </si>
  <si>
    <t xml:space="preserve">FFIRST DAYRH                  </t>
  </si>
  <si>
    <t xml:space="preserve">FAMILIES FIRST MHS CHILD      </t>
  </si>
  <si>
    <t xml:space="preserve">FAM FIRST MH                  </t>
  </si>
  <si>
    <t>SUMMITVIEW CHILD CTR DAYINT FL</t>
  </si>
  <si>
    <t xml:space="preserve">SUMMITVIEW D                  </t>
  </si>
  <si>
    <t xml:space="preserve">SUMMITVIEW CHILD CTR DAY MHS  </t>
  </si>
  <si>
    <t xml:space="preserve">SUMMITVIEW M                  </t>
  </si>
  <si>
    <t>SUMMITVIEW CHILD CTR DAYREH FL</t>
  </si>
  <si>
    <t xml:space="preserve">SUMMITVIEW R                  </t>
  </si>
  <si>
    <t xml:space="preserve">SUMMITVIEW CHILD CTR TBS MHS  </t>
  </si>
  <si>
    <t xml:space="preserve">SUMMITVIEWTB                  </t>
  </si>
  <si>
    <t xml:space="preserve">SUMMITVIEW CHILD CTR MHS      </t>
  </si>
  <si>
    <t xml:space="preserve">SUMMITVIEWMH                  </t>
  </si>
  <si>
    <t xml:space="preserve">RIVER OAK AUBURN BL MHS CHILD </t>
  </si>
  <si>
    <t xml:space="preserve">RIVOAK AUB                    </t>
  </si>
  <si>
    <t xml:space="preserve">RIVER OAK LINCOLN  MHS CHILD  </t>
  </si>
  <si>
    <t xml:space="preserve">RIVOAKLINCOL                  </t>
  </si>
  <si>
    <t xml:space="preserve">RIVER OAK LINCOLNSHIRE CH TBS </t>
  </si>
  <si>
    <t xml:space="preserve">RIVOAKCHDTBS                  </t>
  </si>
  <si>
    <t>RIVER OAK LAUREL HILLS I MH CH</t>
  </si>
  <si>
    <t xml:space="preserve">RIVOAK LH I                   </t>
  </si>
  <si>
    <t>RIVER OAK LAUREL HILLS II MHCH</t>
  </si>
  <si>
    <t xml:space="preserve">RIVOAK LH II                  </t>
  </si>
  <si>
    <t xml:space="preserve">RIVER OAK MACE SCHOOL MHS CH  </t>
  </si>
  <si>
    <t xml:space="preserve">RIVOAK MACE                   </t>
  </si>
  <si>
    <t>EDGEWOOD CTR DAY INT FULL CHLD</t>
  </si>
  <si>
    <t xml:space="preserve">EDGEWOOD DAY                  </t>
  </si>
  <si>
    <t xml:space="preserve">EDGEWOOD CHILD CENTER MHS     </t>
  </si>
  <si>
    <t xml:space="preserve">EDGEWOOD MHS                  </t>
  </si>
  <si>
    <t xml:space="preserve">EDGEWOOD OP CLINIC CHILD MHS  </t>
  </si>
  <si>
    <t xml:space="preserve">EDGEWOOD CLN                  </t>
  </si>
  <si>
    <t xml:space="preserve">EDGEWOOD CENTER TBS MHS       </t>
  </si>
  <si>
    <t xml:space="preserve">EDGEWOODTBS                   </t>
  </si>
  <si>
    <t>EDGEWOOD RESIDENTIAL SUPP CHLD</t>
  </si>
  <si>
    <t xml:space="preserve">EDGE RES SUP                  </t>
  </si>
  <si>
    <t xml:space="preserve">EDGEWOOD NPS-CE MHS CHILD     </t>
  </si>
  <si>
    <t xml:space="preserve">EDGEWOD NPSC                  </t>
  </si>
  <si>
    <t xml:space="preserve">ST VINCENT'S SCH FOR BOYS MHS </t>
  </si>
  <si>
    <t xml:space="preserve">STVINC OPMHS                  </t>
  </si>
  <si>
    <t xml:space="preserve">ST VINCENT'S SCH DAY INT FULL </t>
  </si>
  <si>
    <t xml:space="preserve">STVINC DYINT                  </t>
  </si>
  <si>
    <t xml:space="preserve">ST VINCENT'S BOYS SCH DAY MHS </t>
  </si>
  <si>
    <t xml:space="preserve">STVINC DY MH                  </t>
  </si>
  <si>
    <t>ST VINCENT'S SCH REHAB FULL DY</t>
  </si>
  <si>
    <t xml:space="preserve">STVINCREHBDY                  </t>
  </si>
  <si>
    <t xml:space="preserve">ST. VINCENT'S SCHOOL RES TBS  </t>
  </si>
  <si>
    <t xml:space="preserve">STVINCRESTBS                  </t>
  </si>
  <si>
    <t>JEWISH FAMILY OAK L3 MHS CHILD</t>
  </si>
  <si>
    <t xml:space="preserve">JFCS OK L3CH                  </t>
  </si>
  <si>
    <t>JEWISH FAMILY L3 OAK MHS ADULT</t>
  </si>
  <si>
    <t xml:space="preserve">JFCS OK L3AD                  </t>
  </si>
  <si>
    <t xml:space="preserve">ANN MARTIN CHILD CTR MHS II   </t>
  </si>
  <si>
    <t xml:space="preserve">AMART MHS II                  </t>
  </si>
  <si>
    <t xml:space="preserve">ANN MARTIN CHILD CTR ERMHS    </t>
  </si>
  <si>
    <t xml:space="preserve">AMART ERMHS                   </t>
  </si>
  <si>
    <t xml:space="preserve">ALAMEDA FAM SV APC LVLIII AD  </t>
  </si>
  <si>
    <t xml:space="preserve">ALAFMAPCL3AD                  </t>
  </si>
  <si>
    <t xml:space="preserve">ALAMEDA FAM SV APC LVLIII CH  </t>
  </si>
  <si>
    <t xml:space="preserve">ALAFMAPCL3CH                  </t>
  </si>
  <si>
    <t xml:space="preserve">ALAMEDA FAM SV APC DUAL DX CH </t>
  </si>
  <si>
    <t xml:space="preserve">ALAFMAPCDDXC                  </t>
  </si>
  <si>
    <t>SUNNYHILLS HEATHERSTONE REH FL</t>
  </si>
  <si>
    <t xml:space="preserve">SHCG HSTN DY                  </t>
  </si>
  <si>
    <t>SUNNY HILLS HEATHERSTONE DY MH</t>
  </si>
  <si>
    <t xml:space="preserve">SHCG HSTN MH                  </t>
  </si>
  <si>
    <t>SUNNY HILLS SIMMONS DY INT FUL</t>
  </si>
  <si>
    <t xml:space="preserve">SHCG SIMN DY                  </t>
  </si>
  <si>
    <t xml:space="preserve">SUNNY HILLS SIMMONS DAY MHS   </t>
  </si>
  <si>
    <t xml:space="preserve">SHCG SIMN MH                  </t>
  </si>
  <si>
    <t>SUNNY HILLS SUTRO DAY INT FULL</t>
  </si>
  <si>
    <t xml:space="preserve">SHCG SUTRODY                  </t>
  </si>
  <si>
    <t xml:space="preserve">SUNNY HILLS SUTRO DAY MHS     </t>
  </si>
  <si>
    <t xml:space="preserve">SHCG SUTROMH                  </t>
  </si>
  <si>
    <t>SENECA TRANSITION DAY REH FULL</t>
  </si>
  <si>
    <t xml:space="preserve">SENECA TR DY                  </t>
  </si>
  <si>
    <t>SUNNY HILLS BRAUN PLACE MHS CH</t>
  </si>
  <si>
    <t xml:space="preserve">SHILLS BR MH                  </t>
  </si>
  <si>
    <t>SUNNYHILLS BRAUN PL DAY INT FL</t>
  </si>
  <si>
    <t xml:space="preserve">SHILLS BR DY                  </t>
  </si>
  <si>
    <t>SUNNY HILLS GEORGE DY REH FULL</t>
  </si>
  <si>
    <t xml:space="preserve">SHCG GRG REH                  </t>
  </si>
  <si>
    <t xml:space="preserve">SUNNY HILLS GEORGE DY MHS CH  </t>
  </si>
  <si>
    <t xml:space="preserve">SHCG GRG MHS                  </t>
  </si>
  <si>
    <t>SUNNY HILLS GEORGE DY INT FULL</t>
  </si>
  <si>
    <t xml:space="preserve">SHCG GRG INT                  </t>
  </si>
  <si>
    <t xml:space="preserve">SUNNY HILLS CAMPUS MHS CH     </t>
  </si>
  <si>
    <t xml:space="preserve">SHCG CMP MHS                  </t>
  </si>
  <si>
    <t>SUNNY HILLS CAMPUS REH FULL CH</t>
  </si>
  <si>
    <t xml:space="preserve">SHCG CMP DAY                  </t>
  </si>
  <si>
    <t>SUNNY HILLS CAMPUS PROGRAM TBS</t>
  </si>
  <si>
    <t xml:space="preserve">SHILL CMPTBS                  </t>
  </si>
  <si>
    <t xml:space="preserve">REFUGE TOMPKINS MHS CHILD     </t>
  </si>
  <si>
    <t xml:space="preserve">REFUGE TOMPK                  </t>
  </si>
  <si>
    <t>BAY AREA YOUTH CENTER RAFA MHS</t>
  </si>
  <si>
    <t xml:space="preserve">BAYC RAFA                     </t>
  </si>
  <si>
    <t xml:space="preserve">CHILDREN'S HOSP CLAREMONT MHS </t>
  </si>
  <si>
    <t xml:space="preserve">CHO CLAREMNT                  </t>
  </si>
  <si>
    <t>CHILDREN'S HOSP PSYCHOPHARMACY</t>
  </si>
  <si>
    <t xml:space="preserve">CHO PSYPHARM                  </t>
  </si>
  <si>
    <t>CHILDREN'S HOSP PSYCHOLOGCL SV</t>
  </si>
  <si>
    <t xml:space="preserve">CHO PSYCH SV                  </t>
  </si>
  <si>
    <t>CHILDREN'S HOSP CARE AND FIRST</t>
  </si>
  <si>
    <t xml:space="preserve">CHO CAREFRST                  </t>
  </si>
  <si>
    <t xml:space="preserve">CHILDREN'S HOSP CARE2 MHS CH  </t>
  </si>
  <si>
    <t xml:space="preserve">CHO CARE2MHS                  </t>
  </si>
  <si>
    <t xml:space="preserve">LA CHEIM MHS CHILD BYA        </t>
  </si>
  <si>
    <t xml:space="preserve">LA CHEIM BYA                  </t>
  </si>
  <si>
    <t xml:space="preserve">R HOUSE GIRLS-FULL DAY REHAB  </t>
  </si>
  <si>
    <t xml:space="preserve">RHOUSEGRLFUL                  </t>
  </si>
  <si>
    <t xml:space="preserve">R HOUSE GIRLS DAY MHS CHILD   </t>
  </si>
  <si>
    <t xml:space="preserve">RHOUSEGRLMHS                  </t>
  </si>
  <si>
    <t xml:space="preserve">R HOUSE - GIRLS MHS CHILD     </t>
  </si>
  <si>
    <t xml:space="preserve">RHOUSE GIRLS                  </t>
  </si>
  <si>
    <t xml:space="preserve">R HOUSE BOYS FULL DAY REHAB   </t>
  </si>
  <si>
    <t xml:space="preserve">RHOUSEBOYFUL                  </t>
  </si>
  <si>
    <t xml:space="preserve">R HOUSE BOYS DAY MHS CHILD    </t>
  </si>
  <si>
    <t xml:space="preserve">RHOUSEBOYMHS                  </t>
  </si>
  <si>
    <t xml:space="preserve">R HOUSE MHS CHILD             </t>
  </si>
  <si>
    <t xml:space="preserve">RHOUSE MHSCH                  </t>
  </si>
  <si>
    <t>FAMILYPATH INC HAYWARD MHS ADL</t>
  </si>
  <si>
    <t xml:space="preserve">FAMPTH HAYAD                  </t>
  </si>
  <si>
    <t xml:space="preserve">FAMILYPATH INC HAYWARD MHS CH </t>
  </si>
  <si>
    <t xml:space="preserve">FAMPTH HAYCH                  </t>
  </si>
  <si>
    <t xml:space="preserve">FAMILYPATH INC HAY III MHS AD </t>
  </si>
  <si>
    <t xml:space="preserve">FAMPTHAYL3AD                  </t>
  </si>
  <si>
    <t xml:space="preserve">FAMILYPATH INC HAY III MHS CH </t>
  </si>
  <si>
    <t xml:space="preserve">FAMPTHAYL3CH                  </t>
  </si>
  <si>
    <t xml:space="preserve">FAMILYPATH INC FREMONT MHS AD </t>
  </si>
  <si>
    <t xml:space="preserve">FAMPTH FR AD                  </t>
  </si>
  <si>
    <t xml:space="preserve">FAMILYPATH INC FREMONT MHS CH </t>
  </si>
  <si>
    <t xml:space="preserve">FAMPTH FR CH                  </t>
  </si>
  <si>
    <t xml:space="preserve">FAMILYPATH INC FRE III MHS AD </t>
  </si>
  <si>
    <t xml:space="preserve">FAMPTHFRL3AD                  </t>
  </si>
  <si>
    <t xml:space="preserve">FAMILYPATH INC FRE III MHS CH </t>
  </si>
  <si>
    <t xml:space="preserve">FAMPTHFRL3CH                  </t>
  </si>
  <si>
    <t>THROUGH LOOKING GLASS 0-5 CHLD</t>
  </si>
  <si>
    <t xml:space="preserve">THRLKGLS 0-5                  </t>
  </si>
  <si>
    <t>THRU LOOK GLS SE CO 6-18 MHSCH</t>
  </si>
  <si>
    <t xml:space="preserve">THRLKGLS6-18                  </t>
  </si>
  <si>
    <t>TIBURCIO VASQUEZ FSS MHS CHILD</t>
  </si>
  <si>
    <t xml:space="preserve">TVHC FSS MHS                  </t>
  </si>
  <si>
    <t>TIBURCIO OURKD SP BOHANNON SCH</t>
  </si>
  <si>
    <t xml:space="preserve">TVHCKDSPBOHA                  </t>
  </si>
  <si>
    <t>TIBURCIO OURKIDS CESAR CHA SCH</t>
  </si>
  <si>
    <t xml:space="preserve">TIBV RKDS CC                  </t>
  </si>
  <si>
    <t xml:space="preserve">TIBURCIO OUR KIDS PROJECT SCH </t>
  </si>
  <si>
    <t xml:space="preserve">TIBVRKDS PRO                  </t>
  </si>
  <si>
    <t xml:space="preserve">TIBURCIO OUR KIDS WINTON SCH  </t>
  </si>
  <si>
    <t xml:space="preserve">TIBVRKDS WIN                  </t>
  </si>
  <si>
    <t>TIBURCIO SBSL HAY COMM SCH MHS</t>
  </si>
  <si>
    <t xml:space="preserve">TIBVSBSLHAYC                  </t>
  </si>
  <si>
    <t xml:space="preserve">TIBURCIO SBSL LOGAN HS MHS    </t>
  </si>
  <si>
    <t xml:space="preserve">TIBVSBSLLOGN                  </t>
  </si>
  <si>
    <t xml:space="preserve">TIBURCIO SBSL TENNYSON HS MHS </t>
  </si>
  <si>
    <t xml:space="preserve">TIBSBSL TENN                  </t>
  </si>
  <si>
    <t>TIBURCIO OURKIDS HARDER SCH MH</t>
  </si>
  <si>
    <t xml:space="preserve">TVHCKDS HARD                  </t>
  </si>
  <si>
    <t>TIBURCIO OURKD EDENDALE SCHOOL</t>
  </si>
  <si>
    <t xml:space="preserve">TVHCKDEDEN                    </t>
  </si>
  <si>
    <t xml:space="preserve">KIDANGO 0-5 MHS CHILD         </t>
  </si>
  <si>
    <t xml:space="preserve">KIDANGO 0-5                   </t>
  </si>
  <si>
    <t xml:space="preserve">KIDANGO INC LVL III CHILD MHS </t>
  </si>
  <si>
    <t xml:space="preserve">KIDANGO IIIC                  </t>
  </si>
  <si>
    <t xml:space="preserve">FAMILY SUPPORT ARS MHS CHILD  </t>
  </si>
  <si>
    <t xml:space="preserve">FAM SUPP ARS                  </t>
  </si>
  <si>
    <t>FAMILY SUPPORT FAM RECL MHS CH</t>
  </si>
  <si>
    <t xml:space="preserve">FAMSUPP RECL                  </t>
  </si>
  <si>
    <t xml:space="preserve">FAMILY SUPPORT KINSHIP MHS CH </t>
  </si>
  <si>
    <t xml:space="preserve">FAM SUPP KIN                  </t>
  </si>
  <si>
    <t xml:space="preserve">BRIGHTER BEGINNINGS MHS CHILD </t>
  </si>
  <si>
    <t xml:space="preserve">BRIGHT MHSCH                  </t>
  </si>
  <si>
    <t>BRIGHTER BEGIN HTHYBAB MHS CHL</t>
  </si>
  <si>
    <t xml:space="preserve">BB HB MHS CH                  </t>
  </si>
  <si>
    <t>BRIGHTER BEGIN CALWKS MHS FFRC</t>
  </si>
  <si>
    <t xml:space="preserve">BBCLWKFFRC                    </t>
  </si>
  <si>
    <t xml:space="preserve">TRUE TO LIFE CHILDREN SVC MHS </t>
  </si>
  <si>
    <t xml:space="preserve">TRULIFCHDMHS                  </t>
  </si>
  <si>
    <t xml:space="preserve">NEW BRIDGE BUNCHE ACAD MHS CH </t>
  </si>
  <si>
    <t xml:space="preserve">NEWBRDGBUNCH                  </t>
  </si>
  <si>
    <t xml:space="preserve">NEW BRIDGE COMM SCH MHS CHILD </t>
  </si>
  <si>
    <t xml:space="preserve">NEWBRDG COMM                  </t>
  </si>
  <si>
    <t xml:space="preserve">NEW BRIDGE DEWEY ACAD MHS CH  </t>
  </si>
  <si>
    <t xml:space="preserve">NEWBRDGDEWEY                  </t>
  </si>
  <si>
    <t>BLDN FUTURE CLWKS MHS SISTR ME</t>
  </si>
  <si>
    <t xml:space="preserve">BFCLWKSISTER                  </t>
  </si>
  <si>
    <t>BLDN FUTURE CLWKS MHS SL SHLTR</t>
  </si>
  <si>
    <t xml:space="preserve">BFCLWKSLSHLT                  </t>
  </si>
  <si>
    <t>BLDN FUTURE CLWKS MHS MW SHLTR</t>
  </si>
  <si>
    <t xml:space="preserve">BFCLWKMWSHLT                  </t>
  </si>
  <si>
    <t>GOALS FOR WOMEN CALWKS MHS OAK</t>
  </si>
  <si>
    <t xml:space="preserve">GOALSCLWKOAK                  </t>
  </si>
  <si>
    <t>ANKA BHLTH CALWORKS MHS OAKLAN</t>
  </si>
  <si>
    <t xml:space="preserve">ANKACLWKSOAK                  </t>
  </si>
  <si>
    <t xml:space="preserve">RIVER OAK WALNUT MHS CHILD    </t>
  </si>
  <si>
    <t xml:space="preserve">RIVOAKWALNUT                  </t>
  </si>
  <si>
    <t xml:space="preserve">BYA REACH OUR CHILDREN MHS CH </t>
  </si>
  <si>
    <t xml:space="preserve">BYA ROC MHS                   </t>
  </si>
  <si>
    <t>AIU PSC ROCK LAFLECHE MHS CHLD</t>
  </si>
  <si>
    <t xml:space="preserve">AIU LA FLECH                  </t>
  </si>
  <si>
    <t>AIU PSC HILLSIDE SCH MHS CHILD</t>
  </si>
  <si>
    <t xml:space="preserve">AIU HILLSIDE                  </t>
  </si>
  <si>
    <t>AIU EMMA C SMITH SCH MHS CHILD</t>
  </si>
  <si>
    <t xml:space="preserve">AIU SMITHSCH                  </t>
  </si>
  <si>
    <t xml:space="preserve">AIU DUBLIN HS MHS CHILD       </t>
  </si>
  <si>
    <t xml:space="preserve">AIU DBLNHSCH                  </t>
  </si>
  <si>
    <t xml:space="preserve">AIU OAKLAND TECH HS MHS CHILD </t>
  </si>
  <si>
    <t xml:space="preserve">AIU OAKTHSCH                  </t>
  </si>
  <si>
    <t xml:space="preserve">AIU PSC MLK JR SCH MHS CHILD  </t>
  </si>
  <si>
    <t xml:space="preserve">AIU PSC MLK                   </t>
  </si>
  <si>
    <t xml:space="preserve">AIU ERMHS ASSESSMENTS CHILD   </t>
  </si>
  <si>
    <t xml:space="preserve">AIU ERMHS CH                  </t>
  </si>
  <si>
    <t xml:space="preserve">AIU PSC CLINIC MHS CHILD      </t>
  </si>
  <si>
    <t xml:space="preserve">AIU MHS CHLD                  </t>
  </si>
  <si>
    <t xml:space="preserve">AIU PSC ENCINAL SCH MHS CHILD </t>
  </si>
  <si>
    <t xml:space="preserve">AIU ENCINAL                   </t>
  </si>
  <si>
    <t xml:space="preserve">AIU PSC BREWER SCH MHS CHILD  </t>
  </si>
  <si>
    <t xml:space="preserve">AIU BREWER                    </t>
  </si>
  <si>
    <t xml:space="preserve">AIU PSC MUNCH SCH MHS CHILD   </t>
  </si>
  <si>
    <t xml:space="preserve">AIU MUNCH                     </t>
  </si>
  <si>
    <t xml:space="preserve">AIU PSC RUBICON SCH MHS CHILD </t>
  </si>
  <si>
    <t xml:space="preserve">AIU RUBICON                   </t>
  </si>
  <si>
    <t>AIU PSC CLEVELAND SCH MHS CHLD</t>
  </si>
  <si>
    <t xml:space="preserve">AIU CLEVELAN                  </t>
  </si>
  <si>
    <t xml:space="preserve">AIU PSC FREMONT SCH MHS CHILD </t>
  </si>
  <si>
    <t xml:space="preserve">AIU FREMONT                   </t>
  </si>
  <si>
    <t xml:space="preserve">AIU PSC FRICK SCH MHS CHILD   </t>
  </si>
  <si>
    <t xml:space="preserve">AIU FRICK                     </t>
  </si>
  <si>
    <t>ALT FAM SRV EMANCIP PREP CHILD</t>
  </si>
  <si>
    <t xml:space="preserve">ALTFAMEMANPR                  </t>
  </si>
  <si>
    <t>ALT FAM SRV POST ADOPTION CHLD</t>
  </si>
  <si>
    <t xml:space="preserve">ALTFAMPOSTAD                  </t>
  </si>
  <si>
    <t>ALT FAM SRV REUNIF SUPPORT CHD</t>
  </si>
  <si>
    <t xml:space="preserve">ALTFAMREUNIF                  </t>
  </si>
  <si>
    <t xml:space="preserve">ALT FAM SRV INROADS INDEP MHS </t>
  </si>
  <si>
    <t xml:space="preserve">AFSINROADS                    </t>
  </si>
  <si>
    <t xml:space="preserve">FFYC BRIDGES OF SOLANO MHS CH </t>
  </si>
  <si>
    <t xml:space="preserve">FFYCBRDG MHS                  </t>
  </si>
  <si>
    <t xml:space="preserve">FFYC BRIDGES OF SOLANO FL DAY </t>
  </si>
  <si>
    <t xml:space="preserve">FFYCBRDGFULL                  </t>
  </si>
  <si>
    <t>MILHOUS BAR DU DAY INT FULL CH</t>
  </si>
  <si>
    <t xml:space="preserve">MILHOUS DY                    </t>
  </si>
  <si>
    <t xml:space="preserve">MILHOUS BAR DU DAY MHS CHILD  </t>
  </si>
  <si>
    <t xml:space="preserve">MILHOUS DYMH                  </t>
  </si>
  <si>
    <t xml:space="preserve">MILHOUS BAR DU MHS CHILD TBS  </t>
  </si>
  <si>
    <t xml:space="preserve">MILHOSBARTBS                  </t>
  </si>
  <si>
    <t>MOUNTAIN VALLEY CHLD BAR DU MH</t>
  </si>
  <si>
    <t xml:space="preserve">MVC BAR DUMH                  </t>
  </si>
  <si>
    <t>MULTILINGUAL OAKLAND ADULT MHS</t>
  </si>
  <si>
    <t xml:space="preserve">MLC OAK MHS                   </t>
  </si>
  <si>
    <t>MULTILINGUAL OAKLAND CHILD MHS</t>
  </si>
  <si>
    <t xml:space="preserve">MLC OAK CHLD                  </t>
  </si>
  <si>
    <t xml:space="preserve">VICTOR CSS SHASTA FAM TBS CH  </t>
  </si>
  <si>
    <t xml:space="preserve">VICSHASTATBS                  </t>
  </si>
  <si>
    <t xml:space="preserve">VICTOR CSS TBS REDDING MH CH  </t>
  </si>
  <si>
    <t xml:space="preserve">VIC TBSREDNG                  </t>
  </si>
  <si>
    <t>NO VALLEY SCH LODI DAY REH FUL</t>
  </si>
  <si>
    <t xml:space="preserve">NVS LODI REH                  </t>
  </si>
  <si>
    <t>NO VALLEY SCH LODI DAY INT FUL</t>
  </si>
  <si>
    <t xml:space="preserve">NVS LODI INT                  </t>
  </si>
  <si>
    <t xml:space="preserve">NO VALLEY SCH LODI DAY MHS CH </t>
  </si>
  <si>
    <t xml:space="preserve">NVS LODI MHS                  </t>
  </si>
  <si>
    <t>NO VALLEY SCH REDDING DYREH FL</t>
  </si>
  <si>
    <t xml:space="preserve">NVS REDNGREH                  </t>
  </si>
  <si>
    <t>NO VALLEY SCH REDDING DYINT FL</t>
  </si>
  <si>
    <t xml:space="preserve">NVS REDNGINT                  </t>
  </si>
  <si>
    <t>NO VALLEY SCH REDDING DYMHS CH</t>
  </si>
  <si>
    <t xml:space="preserve">NVS REDNGMHS                  </t>
  </si>
  <si>
    <t xml:space="preserve">DEVEREAUX DAY REH FULL CHILD  </t>
  </si>
  <si>
    <t xml:space="preserve">DEVERDYREHFL                  </t>
  </si>
  <si>
    <t xml:space="preserve">DEVEREUX DAY MHS CHILD        </t>
  </si>
  <si>
    <t xml:space="preserve">DEVERDYMHSCH                  </t>
  </si>
  <si>
    <t xml:space="preserve">DEVEREUX TBS CHILD            </t>
  </si>
  <si>
    <t xml:space="preserve">DEVER TBS                     </t>
  </si>
  <si>
    <t xml:space="preserve">VICTOR SANTA ROSA DY INT FULL </t>
  </si>
  <si>
    <t xml:space="preserve">VICSROSADYIN                  </t>
  </si>
  <si>
    <t xml:space="preserve">VICTOR SANTA ROSA DY REHAB FL </t>
  </si>
  <si>
    <t xml:space="preserve">VICSROSDYREH                  </t>
  </si>
  <si>
    <t xml:space="preserve">VICTOR SANTA ROSA MHS CHILD   </t>
  </si>
  <si>
    <t xml:space="preserve">VIC SROSAMHS                  </t>
  </si>
  <si>
    <t xml:space="preserve">VICTOR S ROSA RES SUPP CHILD  </t>
  </si>
  <si>
    <t xml:space="preserve">VICSR RESSUP                  </t>
  </si>
  <si>
    <t>VICTOR ST ROSA NPS-CE MHS CHLD</t>
  </si>
  <si>
    <t xml:space="preserve">VIC SR NPSCE                  </t>
  </si>
  <si>
    <t>VICTOR LODI DAY INTENSIVE FULL</t>
  </si>
  <si>
    <t xml:space="preserve">VICLODIDYINT                  </t>
  </si>
  <si>
    <t xml:space="preserve">VICTOR LODI DAY REHAB FULL    </t>
  </si>
  <si>
    <t xml:space="preserve">VICLODIDYREH                  </t>
  </si>
  <si>
    <t xml:space="preserve">VICTOR LODI MHS CHILD         </t>
  </si>
  <si>
    <t xml:space="preserve">VIC LODI MHS                  </t>
  </si>
  <si>
    <t xml:space="preserve">VICTOR LODI RES SUPP CHILD    </t>
  </si>
  <si>
    <t xml:space="preserve">VICLODIRESSU                  </t>
  </si>
  <si>
    <t xml:space="preserve">VICTOR LODI NPS-CE MHS CHILD  </t>
  </si>
  <si>
    <t xml:space="preserve">VICLODI NPSC                  </t>
  </si>
  <si>
    <t xml:space="preserve">VICTOR LODI TBS CHILD         </t>
  </si>
  <si>
    <t xml:space="preserve">VICLODI TBS                   </t>
  </si>
  <si>
    <t xml:space="preserve">VICTOR REDDING DY INTENS FULL </t>
  </si>
  <si>
    <t xml:space="preserve">VICREDDYINT                   </t>
  </si>
  <si>
    <t xml:space="preserve">VICTOR REDDING DAY REHAB FULL </t>
  </si>
  <si>
    <t xml:space="preserve">VICRED DYREH                  </t>
  </si>
  <si>
    <t xml:space="preserve">VICTOR REDDING MHS CHILD      </t>
  </si>
  <si>
    <t xml:space="preserve">VIC REDG MHS                  </t>
  </si>
  <si>
    <t xml:space="preserve">VICTOR REDDING RES SUPP CHILD </t>
  </si>
  <si>
    <t xml:space="preserve">VICRD RESSUP                  </t>
  </si>
  <si>
    <t>VICTOR REDDING NPS-CE MHS CHLD</t>
  </si>
  <si>
    <t xml:space="preserve">VICRDNG NPSC                  </t>
  </si>
  <si>
    <t xml:space="preserve">VICTOR REDDING TBS CHILD      </t>
  </si>
  <si>
    <t xml:space="preserve">VIC REDG TBS                  </t>
  </si>
  <si>
    <t xml:space="preserve">MILHOUS RANCH INT DY FL CHILD </t>
  </si>
  <si>
    <t xml:space="preserve">MILHOUSRANDY                  </t>
  </si>
  <si>
    <t xml:space="preserve">MILHOUS RANCH MHS CHILD       </t>
  </si>
  <si>
    <t xml:space="preserve">MILHOUSRANMH                  </t>
  </si>
  <si>
    <t xml:space="preserve">MILHOUS CHILD TBS             </t>
  </si>
  <si>
    <t xml:space="preserve">MILHOUS TBS                   </t>
  </si>
  <si>
    <t>MOUNTAIN VALLEY CHLD THE RANCH</t>
  </si>
  <si>
    <t xml:space="preserve">MVC MH RANCH                  </t>
  </si>
  <si>
    <t>MILHOUS POND LN INT DY FL CHLD</t>
  </si>
  <si>
    <t xml:space="preserve">MILHOUSPLDAY                  </t>
  </si>
  <si>
    <t xml:space="preserve">MILHOUS POND LN MHS CHILD     </t>
  </si>
  <si>
    <t xml:space="preserve">MILHOUSPLMHS                  </t>
  </si>
  <si>
    <t xml:space="preserve">MILHOUS BRADSHAW INT DY FL CH </t>
  </si>
  <si>
    <t xml:space="preserve">MILHOUSBRDDY                  </t>
  </si>
  <si>
    <t xml:space="preserve">MILHOUS BRADSHAW MHS CHILD    </t>
  </si>
  <si>
    <t xml:space="preserve">MILHOUSBRDMH                  </t>
  </si>
  <si>
    <t>MILHOUS BRADSHAW MHS CHILD TBS</t>
  </si>
  <si>
    <t xml:space="preserve">MILHOSBRDTBS                  </t>
  </si>
  <si>
    <t xml:space="preserve">MOUNTAIN VALLEY CHLD BRADSHAW </t>
  </si>
  <si>
    <t xml:space="preserve">MVC BRADSHAW                  </t>
  </si>
  <si>
    <t>SENECA CTR OAK GROVE INT FL DY</t>
  </si>
  <si>
    <t xml:space="preserve">SENECAOAKGRV                  </t>
  </si>
  <si>
    <t xml:space="preserve">SENECA OLIVERA NPS            </t>
  </si>
  <si>
    <t xml:space="preserve">SENECAOLIVER                  </t>
  </si>
  <si>
    <t xml:space="preserve">UNITY FULL DAY INTENSIVE      </t>
  </si>
  <si>
    <t xml:space="preserve">UNITYFLDYINT                  </t>
  </si>
  <si>
    <t xml:space="preserve">UNITY DAY MHS CHILD           </t>
  </si>
  <si>
    <t xml:space="preserve">UNITY MHS                     </t>
  </si>
  <si>
    <t xml:space="preserve">DN ASSOCIATES TBS ONLY        </t>
  </si>
  <si>
    <t xml:space="preserve">DN ASSOC TBS                  </t>
  </si>
  <si>
    <t>WEST COAST CASS STAT MHS CHILD</t>
  </si>
  <si>
    <t xml:space="preserve">WCOASTCASTAT                  </t>
  </si>
  <si>
    <t>WEST COAST PROJ 1959 MHS CHILD</t>
  </si>
  <si>
    <t xml:space="preserve">WESTCST 1959                  </t>
  </si>
  <si>
    <t xml:space="preserve">MULTILINGUAL NEWARK ADULT MHS </t>
  </si>
  <si>
    <t xml:space="preserve">MLC NWRK MHS                  </t>
  </si>
  <si>
    <t xml:space="preserve">MULTILINGUAL NEWARK CHILD MHS </t>
  </si>
  <si>
    <t xml:space="preserve">MLC NWRK CHD                  </t>
  </si>
  <si>
    <t>SENECA PROBATION CBS MHS CHILD</t>
  </si>
  <si>
    <t xml:space="preserve">SEN PROB CHD                  </t>
  </si>
  <si>
    <t xml:space="preserve">SENECA INT CASE MGT MHS CHILD </t>
  </si>
  <si>
    <t xml:space="preserve">SENECAICMCHD                  </t>
  </si>
  <si>
    <t xml:space="preserve">SENECA TBS MHS CHILD          </t>
  </si>
  <si>
    <t xml:space="preserve">SEN TBS CHLD                  </t>
  </si>
  <si>
    <t xml:space="preserve">SENECA CONNECTIONS FSP CHILD  </t>
  </si>
  <si>
    <t xml:space="preserve">SEN FSP CHLD                  </t>
  </si>
  <si>
    <t>SENECA CONNECTIONS FSP REF CHL</t>
  </si>
  <si>
    <t xml:space="preserve">SEN FSP REF                   </t>
  </si>
  <si>
    <t>SENECA ERMHS AT BERKELEY CHILD</t>
  </si>
  <si>
    <t xml:space="preserve">SEN ERMHS CH                  </t>
  </si>
  <si>
    <t xml:space="preserve">MILHOUS GERBER INT DAY FULL   </t>
  </si>
  <si>
    <t xml:space="preserve">MILHOUSGERFL                  </t>
  </si>
  <si>
    <t xml:space="preserve">MILHOUS GERBER MHS CHILD      </t>
  </si>
  <si>
    <t xml:space="preserve">MILHUSGERMHS                  </t>
  </si>
  <si>
    <t xml:space="preserve">MILHOUS GERBER MHS CHILD TBS  </t>
  </si>
  <si>
    <t xml:space="preserve">MILHOSGERTBS                  </t>
  </si>
  <si>
    <t>MOUNTAIN VALLEY CHLD GERBER MH</t>
  </si>
  <si>
    <t xml:space="preserve">MVC GERBER                    </t>
  </si>
  <si>
    <t>SUNNYHILLS BAYC CLVERA MHS CHD</t>
  </si>
  <si>
    <t xml:space="preserve">SHBAYCCLVMHS                  </t>
  </si>
  <si>
    <t>SUNNY HILLS BAYC ESSER MHS CHD</t>
  </si>
  <si>
    <t xml:space="preserve">SHBAYCESSMHS                  </t>
  </si>
  <si>
    <t>SIDE BY SIDE RAFA THPP &amp; THPFC</t>
  </si>
  <si>
    <t xml:space="preserve">SBS RAFATHPP                  </t>
  </si>
  <si>
    <t>SUNNY HILLS SANTA RITA MHS TAY</t>
  </si>
  <si>
    <t xml:space="preserve">SH STRITATAY                  </t>
  </si>
  <si>
    <t xml:space="preserve">SUNNY HILLS RAFA AFTERCARE    </t>
  </si>
  <si>
    <t xml:space="preserve">SHBAY AFCARE                  </t>
  </si>
  <si>
    <t xml:space="preserve">SIDE BY SIDE RAFA OUR SPACE   </t>
  </si>
  <si>
    <t xml:space="preserve">SBS RAFAOURS                  </t>
  </si>
  <si>
    <t xml:space="preserve">SUNNY HILLS RAFA NEXT STEP    </t>
  </si>
  <si>
    <t xml:space="preserve">SHBAY NXTSTP                  </t>
  </si>
  <si>
    <t xml:space="preserve">SIDE BY SIDE RAFA MHS TAY     </t>
  </si>
  <si>
    <t xml:space="preserve">SBS RAFAMTAY                  </t>
  </si>
  <si>
    <t xml:space="preserve">West County Mental Health Svs </t>
  </si>
  <si>
    <t xml:space="preserve">WEST MHS                      </t>
  </si>
  <si>
    <t xml:space="preserve">Take Care Case Management     </t>
  </si>
  <si>
    <t xml:space="preserve">TC CASE MGMT                  </t>
  </si>
  <si>
    <t xml:space="preserve">Works Hard Crisis Unit        </t>
  </si>
  <si>
    <t xml:space="preserve">CRISIS                        </t>
  </si>
  <si>
    <t xml:space="preserve">MH Administration             </t>
  </si>
  <si>
    <t xml:space="preserve">MH ADMIN                      </t>
  </si>
  <si>
    <t xml:space="preserve">Short Term House              </t>
  </si>
  <si>
    <t xml:space="preserve">SHORT TERM                    </t>
  </si>
  <si>
    <t>Habilitative Day Treatmnt TEST</t>
  </si>
  <si>
    <t xml:space="preserve">HAB DTX                       </t>
  </si>
  <si>
    <t>West County Intensive Day Half</t>
  </si>
  <si>
    <t xml:space="preserve">WEST IN HALF                  </t>
  </si>
  <si>
    <t xml:space="preserve">HOSPITAL 24HR SERVICES        </t>
  </si>
  <si>
    <t xml:space="preserve">HOSPITAL                      </t>
  </si>
  <si>
    <t xml:space="preserve">CONREP MHS                    </t>
  </si>
  <si>
    <t xml:space="preserve">CONREP                        </t>
  </si>
  <si>
    <t>CRIMINAL JUSTICE MHS NOCO JAIL</t>
  </si>
  <si>
    <t xml:space="preserve">CJ NOCO JAIL                  </t>
  </si>
  <si>
    <t>ADULT FORENSIC BEHAVIORAL HLTH</t>
  </si>
  <si>
    <t xml:space="preserve">AF SANTARITA                  </t>
  </si>
  <si>
    <t xml:space="preserve">CRIMINAL JUSTICE OP HISTORY   </t>
  </si>
  <si>
    <t xml:space="preserve">CJ HISTORY                    </t>
  </si>
  <si>
    <t xml:space="preserve">CRIMINAL JUSTICE INPATIENT    </t>
  </si>
  <si>
    <t xml:space="preserve">CJ INPAT                      </t>
  </si>
  <si>
    <t xml:space="preserve">SMITH JACQUELINE A MFT        </t>
  </si>
  <si>
    <t xml:space="preserve">SMITH JACQUE                  </t>
  </si>
  <si>
    <t xml:space="preserve">MOVSESIAN VIGUEN G MD         </t>
  </si>
  <si>
    <t xml:space="preserve">MOVSESIAN VI                  </t>
  </si>
  <si>
    <t xml:space="preserve">WESTWOOD 24HR SNF             </t>
  </si>
  <si>
    <t xml:space="preserve">WESTWOOD SNF                  </t>
  </si>
  <si>
    <t xml:space="preserve">CENTER FOR INDEP LVG OUTREACH </t>
  </si>
  <si>
    <t xml:space="preserve">CFIL OTRCH                    </t>
  </si>
  <si>
    <t xml:space="preserve">BERKELEY EMER FOOD PROJECT    </t>
  </si>
  <si>
    <t xml:space="preserve">BERK FOOD OR                  </t>
  </si>
  <si>
    <t xml:space="preserve">CRSTWD MOD                    </t>
  </si>
  <si>
    <t xml:space="preserve">CRESTWOOD MODESTO 24HR ISN    </t>
  </si>
  <si>
    <t xml:space="preserve">CRESTWOOD ANGWIN 24HR ISN     </t>
  </si>
  <si>
    <t xml:space="preserve">CRESTWOOD FREMONT 24HR ISN    </t>
  </si>
  <si>
    <t xml:space="preserve">CRESTWOOD SAN JOSE 24HR ISN   </t>
  </si>
  <si>
    <t xml:space="preserve">CRESTWOOD STOCKTON 24HR ISN   </t>
  </si>
  <si>
    <t xml:space="preserve">CRESTWOOD VALLEJO 24HR ISN    </t>
  </si>
  <si>
    <t xml:space="preserve">EBAC DAY INT FREMONT          </t>
  </si>
  <si>
    <t xml:space="preserve">EBAC FREM DY                  </t>
  </si>
  <si>
    <t xml:space="preserve">SCHUMAN/LILES MHS ADULT       </t>
  </si>
  <si>
    <t xml:space="preserve">SCHUMN MH AD                  </t>
  </si>
  <si>
    <t xml:space="preserve">SRP - HAPPY PEOPLE RES CARE   </t>
  </si>
  <si>
    <t xml:space="preserve">SRP HAPPY PL                  </t>
  </si>
  <si>
    <t xml:space="preserve">SCHUMAN/LILES MHS CHILD       </t>
  </si>
  <si>
    <t xml:space="preserve">SCHUMN MH CH                  </t>
  </si>
  <si>
    <t xml:space="preserve">RED CROSS CREATIVE LVG OTRCH  </t>
  </si>
  <si>
    <t xml:space="preserve">RED CR OTRCH                  </t>
  </si>
  <si>
    <t xml:space="preserve">CHILDRENS SPECIALIZD SVS OP   </t>
  </si>
  <si>
    <t xml:space="preserve">CSS HISTORY                   </t>
  </si>
  <si>
    <t xml:space="preserve">CHILDRENS SPECIALIZED SVS CM  </t>
  </si>
  <si>
    <t xml:space="preserve">CSS CM                        </t>
  </si>
  <si>
    <t>CAMH BERK DROP-IN CENTER OTRCH</t>
  </si>
  <si>
    <t xml:space="preserve">CAMH OTRC                     </t>
  </si>
  <si>
    <t>NATIVE AMERICAN HLTH CTR OTRCH</t>
  </si>
  <si>
    <t xml:space="preserve">NAT AM OTRCH                  </t>
  </si>
  <si>
    <t>OISC OAK IND SUPPORT CTR OTRCH</t>
  </si>
  <si>
    <t xml:space="preserve">OISC OTRCH                    </t>
  </si>
  <si>
    <t xml:space="preserve">SRP - ACACIA LODGE            </t>
  </si>
  <si>
    <t xml:space="preserve">SRP ACACIA                    </t>
  </si>
  <si>
    <t xml:space="preserve">SRP - ADELINE BOARD &amp; CARE    </t>
  </si>
  <si>
    <t xml:space="preserve">SRP ADELINE                   </t>
  </si>
  <si>
    <t xml:space="preserve">SRP - ANNIE'S HOME #1         </t>
  </si>
  <si>
    <t xml:space="preserve">SRP ANNIES 1                  </t>
  </si>
  <si>
    <t xml:space="preserve">SPR - ANNIE'S HOME #2         </t>
  </si>
  <si>
    <t xml:space="preserve">SRP ANNIES 2                  </t>
  </si>
  <si>
    <t xml:space="preserve">SRP - BUTLER'S ADULT FACILITY </t>
  </si>
  <si>
    <t xml:space="preserve">SRP BULTERS                   </t>
  </si>
  <si>
    <t xml:space="preserve">SRP - COULBERTSON FAMILY HOME </t>
  </si>
  <si>
    <t xml:space="preserve">SRP CULBRTSN                  </t>
  </si>
  <si>
    <t xml:space="preserve">SRP - DAWSON'S RESIDENTIAL    </t>
  </si>
  <si>
    <t xml:space="preserve">SRP DAWSON                    </t>
  </si>
  <si>
    <t xml:space="preserve">SRP - EVELYN'S RESIDENTIAL    </t>
  </si>
  <si>
    <t xml:space="preserve">SRP EVELYN                    </t>
  </si>
  <si>
    <t xml:space="preserve">SRP - FRUITVALE FAMILY HOME   </t>
  </si>
  <si>
    <t xml:space="preserve">SRP FRUITVLE                  </t>
  </si>
  <si>
    <t xml:space="preserve">SRP - FULTON REST HOME        </t>
  </si>
  <si>
    <t xml:space="preserve">SRP FULTON                    </t>
  </si>
  <si>
    <t xml:space="preserve">SRP - GENE'S RESIDENTIAL CARE </t>
  </si>
  <si>
    <t xml:space="preserve">SRP GENE                      </t>
  </si>
  <si>
    <t xml:space="preserve">SRP - GRAND LAKE HOMES        </t>
  </si>
  <si>
    <t xml:space="preserve">SRP GRNDLAKE                  </t>
  </si>
  <si>
    <t xml:space="preserve">SRP - HIGHLAND VIEW HOME      </t>
  </si>
  <si>
    <t xml:space="preserve">SRP HIGHLAND                  </t>
  </si>
  <si>
    <t xml:space="preserve">SRP - HILLVIEW LODGE RESIDENT </t>
  </si>
  <si>
    <t xml:space="preserve">SRP HILLVIEW                  </t>
  </si>
  <si>
    <t xml:space="preserve">SRP - JOHNSON'S FAMILY HOME   </t>
  </si>
  <si>
    <t xml:space="preserve">SRP JOHNSON                   </t>
  </si>
  <si>
    <t xml:space="preserve">SRP - MARIA'S BOARD&amp;CARE HOME </t>
  </si>
  <si>
    <t xml:space="preserve">SRP MARIA                     </t>
  </si>
  <si>
    <t xml:space="preserve">SRP - MATEO'S BOARD&amp;CARE HOME </t>
  </si>
  <si>
    <t xml:space="preserve">SRP MATEO                     </t>
  </si>
  <si>
    <t>SRP - MC CREARY'S BOARD &amp; CARE</t>
  </si>
  <si>
    <t xml:space="preserve">SRP MCCREARY                  </t>
  </si>
  <si>
    <t xml:space="preserve">SRP - ONICK CARE HOME         </t>
  </si>
  <si>
    <t xml:space="preserve">SRP ONICK                     </t>
  </si>
  <si>
    <t xml:space="preserve">SRP - PULLEN'S BOARD&amp;CARE FAC </t>
  </si>
  <si>
    <t xml:space="preserve">SRP PULLN BC                  </t>
  </si>
  <si>
    <t xml:space="preserve">SRP - PULLEN'S GROUP HOME     </t>
  </si>
  <si>
    <t xml:space="preserve">SRP PULLN GR                  </t>
  </si>
  <si>
    <t xml:space="preserve">SRP - R &amp; L HOME              </t>
  </si>
  <si>
    <t xml:space="preserve">SRP R&amp;L HOME                  </t>
  </si>
  <si>
    <t xml:space="preserve">SRP - ROCEL BOARD &amp; CARE HOME </t>
  </si>
  <si>
    <t xml:space="preserve">SRP ROCEL                     </t>
  </si>
  <si>
    <t xml:space="preserve">SRP - ROSE GARDEN RETIREMENT  </t>
  </si>
  <si>
    <t xml:space="preserve">SRP ROSE GAR                  </t>
  </si>
  <si>
    <t xml:space="preserve">SRP - SASHINGER FAMILY HOME   </t>
  </si>
  <si>
    <t xml:space="preserve">SRP SASHNGER                  </t>
  </si>
  <si>
    <t xml:space="preserve">SRP - PAYTON HOUSE            </t>
  </si>
  <si>
    <t xml:space="preserve">SRP PAYTON                    </t>
  </si>
  <si>
    <t xml:space="preserve">SRP - ST BENEDICT'S ADULT RES </t>
  </si>
  <si>
    <t xml:space="preserve">SRP ST BENED                  </t>
  </si>
  <si>
    <t xml:space="preserve">SRP - TIA MARIA FAMILY HOME   </t>
  </si>
  <si>
    <t xml:space="preserve">SRP TIAMARIA                  </t>
  </si>
  <si>
    <t xml:space="preserve">SRP - TLCS GUEST HOUSE        </t>
  </si>
  <si>
    <t xml:space="preserve">SRP TLCS                      </t>
  </si>
  <si>
    <t xml:space="preserve">SRP - WALKER'S FAMILY HOME    </t>
  </si>
  <si>
    <t xml:space="preserve">SRP WALKER                    </t>
  </si>
  <si>
    <t xml:space="preserve">SRP - WESTMOHR LODGE          </t>
  </si>
  <si>
    <t xml:space="preserve">SRP WESTMOHR                  </t>
  </si>
  <si>
    <t xml:space="preserve">SRP - WILSON'S FAMILY HOME #1 </t>
  </si>
  <si>
    <t xml:space="preserve">SRP WILSON 1                  </t>
  </si>
  <si>
    <t xml:space="preserve">SRP - WILSON'S FAMILY HOME #2 </t>
  </si>
  <si>
    <t xml:space="preserve">SRP WILSON 2                  </t>
  </si>
  <si>
    <t xml:space="preserve">SRP - DILLARD'S CARE HOME     </t>
  </si>
  <si>
    <t xml:space="preserve">SRP DILLARD                   </t>
  </si>
  <si>
    <t xml:space="preserve">SRP - WHEELER HOUSE           </t>
  </si>
  <si>
    <t xml:space="preserve">SRP WHEELER                   </t>
  </si>
  <si>
    <t xml:space="preserve">JOHN GEORGE PSYCH SVS CCRT CM </t>
  </si>
  <si>
    <t xml:space="preserve">JGP CCRT CM                   </t>
  </si>
  <si>
    <t xml:space="preserve">SRP - THE BARAKA              </t>
  </si>
  <si>
    <t xml:space="preserve">SRP BARAKA                    </t>
  </si>
  <si>
    <t xml:space="preserve">SRP - GLO'S ADULT RESIDENTIAL </t>
  </si>
  <si>
    <t xml:space="preserve">SRP GLO'S RS                  </t>
  </si>
  <si>
    <t>SRP - BAY AREA RES COMM CENTER</t>
  </si>
  <si>
    <t xml:space="preserve">SRP BAY AREA                  </t>
  </si>
  <si>
    <t xml:space="preserve">SENECA CENTER DAY REHAB CHILD </t>
  </si>
  <si>
    <t xml:space="preserve">SENECA DAYHB                  </t>
  </si>
  <si>
    <t>TELECARE GLADMAN 24HR MHRC-PHF</t>
  </si>
  <si>
    <t xml:space="preserve">GLADMAN MHRC                  </t>
  </si>
  <si>
    <t xml:space="preserve">NAPA STATE HOSPITAL ADULT     </t>
  </si>
  <si>
    <t xml:space="preserve">NAPA HOSP AD                  </t>
  </si>
  <si>
    <t xml:space="preserve">NAPA STATE HOSPITAL CHILD     </t>
  </si>
  <si>
    <t xml:space="preserve">NAPA HOSP CH                  </t>
  </si>
  <si>
    <t xml:space="preserve">PATTON STATE HOSPITAL ADULT   </t>
  </si>
  <si>
    <t xml:space="preserve">PATTON HOSP                   </t>
  </si>
  <si>
    <t>ATASCADERO STATE HOSPITAL ADLT</t>
  </si>
  <si>
    <t xml:space="preserve">ATASCAD HOSP                  </t>
  </si>
  <si>
    <t xml:space="preserve">SRP - LEWELLING MANOR         </t>
  </si>
  <si>
    <t xml:space="preserve">SRP LEWELLIN                  </t>
  </si>
  <si>
    <t>SRP - FRED FINCH CHILDREN HOME</t>
  </si>
  <si>
    <t xml:space="preserve">SRP FF CH HM                  </t>
  </si>
  <si>
    <t xml:space="preserve">SRP - FRUITVALE HOME #2       </t>
  </si>
  <si>
    <t xml:space="preserve">FRUITVALE #2                  </t>
  </si>
  <si>
    <t xml:space="preserve">ALAMEDA FAMILY SRV MHS SCHOOL </t>
  </si>
  <si>
    <t xml:space="preserve">ALAFAMSV SCH                  </t>
  </si>
  <si>
    <t>SRP - MARIA'S BOARD&amp;CARE HOME2</t>
  </si>
  <si>
    <t xml:space="preserve">SRP MARIA 2                   </t>
  </si>
  <si>
    <t xml:space="preserve">EBAC DAY FREMONT MHS          </t>
  </si>
  <si>
    <t xml:space="preserve">EBAC FRM MHS                  </t>
  </si>
  <si>
    <t xml:space="preserve">CHILDRENS SPECIALIZED SVS MHS </t>
  </si>
  <si>
    <t xml:space="preserve">CSS MHS                       </t>
  </si>
  <si>
    <t xml:space="preserve">MOBILE CRISIS RESP PGM MHS AD </t>
  </si>
  <si>
    <t xml:space="preserve">MCRP MHS                      </t>
  </si>
  <si>
    <t>COM CRISS RESPONSE PGM/JGP MHS</t>
  </si>
  <si>
    <t xml:space="preserve">CCRP/JGP MHS                  </t>
  </si>
  <si>
    <t xml:space="preserve">TELECARE GLADMAN DAY MHS      </t>
  </si>
  <si>
    <t xml:space="preserve">GLADMN D MHS                  </t>
  </si>
  <si>
    <t xml:space="preserve">SENECA CENTER DAY INT HALF    </t>
  </si>
  <si>
    <t xml:space="preserve">SENECA INT                    </t>
  </si>
  <si>
    <t xml:space="preserve">SENECA CENTER DAY MHS         </t>
  </si>
  <si>
    <t xml:space="preserve">SENECA D MHS                  </t>
  </si>
  <si>
    <t xml:space="preserve">EBAC DAY THERAPEUTIC NURSERY  </t>
  </si>
  <si>
    <t xml:space="preserve">EBAC DY NURS                  </t>
  </si>
  <si>
    <t xml:space="preserve">ALA CO NETWORK OF MH CLIENTS  </t>
  </si>
  <si>
    <t xml:space="preserve">ALA CO NETWK                  </t>
  </si>
  <si>
    <t xml:space="preserve">West Adult Residential        </t>
  </si>
  <si>
    <t xml:space="preserve">WES AD RES                    </t>
  </si>
  <si>
    <t xml:space="preserve">SRP - SCOTT'S VILLA           </t>
  </si>
  <si>
    <t xml:space="preserve">SRP SCOTTS                    </t>
  </si>
  <si>
    <t>ALAMEDA FAM SRV MAYA LIN CESDC</t>
  </si>
  <si>
    <t xml:space="preserve">ALAFAM M LIN                  </t>
  </si>
  <si>
    <t>HIGHVIEW CONVALESCENT HOSPITAL</t>
  </si>
  <si>
    <t xml:space="preserve">HIGHVW OBS                    </t>
  </si>
  <si>
    <t xml:space="preserve">VOCATIONAL PROGRAM            </t>
  </si>
  <si>
    <t xml:space="preserve">VOC PROGRAM                   </t>
  </si>
  <si>
    <t>BACS HAYWARD CREATIVE LIVG CTR</t>
  </si>
  <si>
    <t xml:space="preserve">BACS HAY CLC                  </t>
  </si>
  <si>
    <t>BACS VALLEY CREATIVE LIVNG CTR</t>
  </si>
  <si>
    <t xml:space="preserve">BACS VAL CLC                  </t>
  </si>
  <si>
    <t xml:space="preserve">BACS 4 BRIDGES FL DAY REHAB   </t>
  </si>
  <si>
    <t xml:space="preserve">BACS 4BR FLD                  </t>
  </si>
  <si>
    <t>BACS TOWNE HSE CREATVE LIV CTR</t>
  </si>
  <si>
    <t xml:space="preserve">BACS TWN CLC                  </t>
  </si>
  <si>
    <t>SCHUMAN/LILES MHS ADULT FREMNT</t>
  </si>
  <si>
    <t xml:space="preserve">SCHUMN MH FR                  </t>
  </si>
  <si>
    <t>ALTA BATES/HERRICK MEDICAL CTR</t>
  </si>
  <si>
    <t xml:space="preserve">ALTA BATES                    </t>
  </si>
  <si>
    <t>BEHAVIORAL HEALTH CARE FREMONT</t>
  </si>
  <si>
    <t xml:space="preserve">BHC FREMONT                   </t>
  </si>
  <si>
    <t>BEHAVIORAL HLTH CARE WALNUT CR</t>
  </si>
  <si>
    <t xml:space="preserve">BHC WALNT CR                  </t>
  </si>
  <si>
    <t>BEHAVRL HLTH CARE BELMNT HILLS</t>
  </si>
  <si>
    <t xml:space="preserve">BHC BELMONT                   </t>
  </si>
  <si>
    <t xml:space="preserve">ST HELENA HOSP CTR BEHAV HLTH </t>
  </si>
  <si>
    <t xml:space="preserve">STHELENA HOS                  </t>
  </si>
  <si>
    <t xml:space="preserve">LANGLEY PORTER                </t>
  </si>
  <si>
    <t xml:space="preserve">LANGLEY PORT                  </t>
  </si>
  <si>
    <t>ST MARY'S HOSPITAL MEDICAL CTR</t>
  </si>
  <si>
    <t xml:space="preserve">ST MARYS HSP                  </t>
  </si>
  <si>
    <t>CHARTER BEHAVIORAL HEALTH SYST</t>
  </si>
  <si>
    <t xml:space="preserve">CHARTER                       </t>
  </si>
  <si>
    <t xml:space="preserve">UCSF CENTER ON DEAFNESS MHS   </t>
  </si>
  <si>
    <t xml:space="preserve">UCSF CTR DFS                  </t>
  </si>
  <si>
    <t xml:space="preserve">CHILD &amp; YOUTH CRISIS TEAM MHS </t>
  </si>
  <si>
    <t xml:space="preserve">CYCT MHS                      </t>
  </si>
  <si>
    <t xml:space="preserve">EAST BAY HOSPITAL             </t>
  </si>
  <si>
    <t xml:space="preserve">EAST BAY HSP                  </t>
  </si>
  <si>
    <t xml:space="preserve">EDEN HOSPITAL                 </t>
  </si>
  <si>
    <t xml:space="preserve">EDEN HOSP                     </t>
  </si>
  <si>
    <t xml:space="preserve">MODESTO PSYCHIATRIC CENTER    </t>
  </si>
  <si>
    <t xml:space="preserve">MODESTO PSYC                  </t>
  </si>
  <si>
    <t xml:space="preserve">PROVIDENCE HOSPITAL           </t>
  </si>
  <si>
    <t xml:space="preserve">PROVIDENCE                    </t>
  </si>
  <si>
    <t xml:space="preserve">ROSS GENERAL HOSPITAL         </t>
  </si>
  <si>
    <t xml:space="preserve">ROSS GEN HSP                  </t>
  </si>
  <si>
    <t xml:space="preserve">WASHINGTON HOSPITAL           </t>
  </si>
  <si>
    <t xml:space="preserve">WASHINGTON                    </t>
  </si>
  <si>
    <t xml:space="preserve">OUT-OF-COUNTY HOSPITAL        </t>
  </si>
  <si>
    <t xml:space="preserve">OUT OF CO                     </t>
  </si>
  <si>
    <t xml:space="preserve">OUT-OF-STATE HOSPITAL         </t>
  </si>
  <si>
    <t xml:space="preserve">OUT OF STATE                  </t>
  </si>
  <si>
    <t xml:space="preserve">TELECARE STRIDES PROGRAM      </t>
  </si>
  <si>
    <t xml:space="preserve">STRIDES                       </t>
  </si>
  <si>
    <t xml:space="preserve">SRP - FOUNDATIONS FOR LIVING  </t>
  </si>
  <si>
    <t xml:space="preserve">SRP FOUNDATN                  </t>
  </si>
  <si>
    <t xml:space="preserve">ST. LUKE'S HOSPITAL           </t>
  </si>
  <si>
    <t xml:space="preserve">ST.LUKE'S                     </t>
  </si>
  <si>
    <t xml:space="preserve">FFYC WESTLAKE DAY REHAB CHILD </t>
  </si>
  <si>
    <t xml:space="preserve">FFYC WESTLAK                  </t>
  </si>
  <si>
    <t>FFYC SKYLINE HS DAY REHAB CHLD</t>
  </si>
  <si>
    <t xml:space="preserve">FFYC SKYLINE                  </t>
  </si>
  <si>
    <t>MH SVS &amp; TREATMENT ACCESS TEAM</t>
  </si>
  <si>
    <t xml:space="preserve">MH STAT                       </t>
  </si>
  <si>
    <t>SENECA SOC SVC AGENCY MHS CHLD</t>
  </si>
  <si>
    <t xml:space="preserve">SENECA SSA                    </t>
  </si>
  <si>
    <t>SENECA BUILDING BLOCKS DAY INT</t>
  </si>
  <si>
    <t xml:space="preserve">SNECA BB DAY                  </t>
  </si>
  <si>
    <t>ALTA BATES/HERRICK ADOLES PRGM</t>
  </si>
  <si>
    <t xml:space="preserve">HERRICK ADOL                  </t>
  </si>
  <si>
    <t xml:space="preserve">SRP - THOMAS-ADAMS RCFE       </t>
  </si>
  <si>
    <t xml:space="preserve">SRP THOMAS                    </t>
  </si>
  <si>
    <t xml:space="preserve">ACCESS MHS ADULT NORTH COUNTY </t>
  </si>
  <si>
    <t xml:space="preserve">ACCESS NO CO                  </t>
  </si>
  <si>
    <t xml:space="preserve">ACCESS MHS ADULT SOUTH COUNTY </t>
  </si>
  <si>
    <t xml:space="preserve">ACCESS SO CO                  </t>
  </si>
  <si>
    <t>ACCESS MHS ADULT JOHN GEORGE P</t>
  </si>
  <si>
    <t xml:space="preserve">ACCESS JGP                    </t>
  </si>
  <si>
    <t xml:space="preserve">ACCESS MHS ADULT OAKLAND      </t>
  </si>
  <si>
    <t xml:space="preserve">ACCESS OAKL                   </t>
  </si>
  <si>
    <t xml:space="preserve">ACCESS MHS ADULT TRI-CITY     </t>
  </si>
  <si>
    <t xml:space="preserve">ACCESS TRI C                  </t>
  </si>
  <si>
    <t xml:space="preserve">ACCESS MHS ADULT VALLEY       </t>
  </si>
  <si>
    <t xml:space="preserve">ACCESS VALLE                  </t>
  </si>
  <si>
    <t xml:space="preserve">MAA PROTOTYPE - TEMPORARY     </t>
  </si>
  <si>
    <t xml:space="preserve">MAA-TEMP                      </t>
  </si>
  <si>
    <t xml:space="preserve">MAA ACTIVITY FOR HITS         </t>
  </si>
  <si>
    <t xml:space="preserve">MAA HITS                      </t>
  </si>
  <si>
    <t>SENECA SSA RESIDENTIAL INT FUL</t>
  </si>
  <si>
    <t xml:space="preserve">SENECA INT F                  </t>
  </si>
  <si>
    <t xml:space="preserve">BACS WOODROE PLACE CRISIS RES </t>
  </si>
  <si>
    <t xml:space="preserve">WOODROE CRIS                  </t>
  </si>
  <si>
    <t xml:space="preserve">BONITA HOUSE CLC REH DAY FULL </t>
  </si>
  <si>
    <t xml:space="preserve">BONITA REHDY                  </t>
  </si>
  <si>
    <t xml:space="preserve">SRP - Amver Care Home         </t>
  </si>
  <si>
    <t xml:space="preserve">SRP AMVER                     </t>
  </si>
  <si>
    <t xml:space="preserve">TELECARE GARFIELD NEURO-B CTR </t>
  </si>
  <si>
    <t xml:space="preserve">GARF NEURO-B                  </t>
  </si>
  <si>
    <t xml:space="preserve">BACS WOODROE PLACE MHS        </t>
  </si>
  <si>
    <t xml:space="preserve">WOODROE MHS                   </t>
  </si>
  <si>
    <t>THUNDER ROAD DAY REHAB FULL CH</t>
  </si>
  <si>
    <t xml:space="preserve">THUNDER ROAD                  </t>
  </si>
  <si>
    <t xml:space="preserve">THUNDER ROAD NPS-CE MHS CHILD </t>
  </si>
  <si>
    <t xml:space="preserve">THNDR NPSCE                   </t>
  </si>
  <si>
    <t>BERKELEY ACADEMY EPSDT MHS CHL</t>
  </si>
  <si>
    <t xml:space="preserve">BERK ACADEMY                  </t>
  </si>
  <si>
    <t xml:space="preserve">SENECA CENTER EPSDT MHS CHILD </t>
  </si>
  <si>
    <t xml:space="preserve">SENECA EPSDT                  </t>
  </si>
  <si>
    <t xml:space="preserve">BONITA HOUSE 24HR RES ADULT   </t>
  </si>
  <si>
    <t xml:space="preserve">E BAY COMM RECOVERY PROJ DAY  </t>
  </si>
  <si>
    <t xml:space="preserve">E BAY REC DY                  </t>
  </si>
  <si>
    <t xml:space="preserve">E BAY COMM RECOVERY PROJ MHS  </t>
  </si>
  <si>
    <t xml:space="preserve">E BAY REC MH                  </t>
  </si>
  <si>
    <t xml:space="preserve">CITY OF BERKELEY PROGRAM      </t>
  </si>
  <si>
    <t xml:space="preserve">CITY BERK PR                  </t>
  </si>
  <si>
    <t>ASIAN PACIFIC PSY SV EPSDT MHS</t>
  </si>
  <si>
    <t xml:space="preserve">ASIAN PAC EP                  </t>
  </si>
  <si>
    <t xml:space="preserve">STARS PSYCH HEALTH FACILITY   </t>
  </si>
  <si>
    <t xml:space="preserve">STARS PHF                     </t>
  </si>
  <si>
    <t>TELECARE STRIDES ADLT FSP PRGM</t>
  </si>
  <si>
    <t xml:space="preserve">STRIDES PGRM                  </t>
  </si>
  <si>
    <t xml:space="preserve">TELECARE STRIDES FSP          </t>
  </si>
  <si>
    <t xml:space="preserve">STRIDES FSP                   </t>
  </si>
  <si>
    <t>TELECARE STRIDES AD SVS TEAM 2</t>
  </si>
  <si>
    <t xml:space="preserve">STRIDES T2                    </t>
  </si>
  <si>
    <t>TELECARE STRIDES AD SVS TEAM 3</t>
  </si>
  <si>
    <t xml:space="preserve">STRIDES T3                    </t>
  </si>
  <si>
    <t xml:space="preserve">CHILDREN'S LEARNING CTR EPSDT </t>
  </si>
  <si>
    <t xml:space="preserve">CH LEARNING                   </t>
  </si>
  <si>
    <t>CHARIS YOUTH CTR EPSDT DY REHB</t>
  </si>
  <si>
    <t xml:space="preserve">CHARIS DY RH                  </t>
  </si>
  <si>
    <t>CHARIS YTH CTR TRI-V EPSDT DAY</t>
  </si>
  <si>
    <t xml:space="preserve">CHARIS TRI-V                  </t>
  </si>
  <si>
    <t>SENECA COMM ALTERNATIVE MHS CH</t>
  </si>
  <si>
    <t xml:space="preserve">SENECA ALTN                   </t>
  </si>
  <si>
    <t>SENECA COMM ALTERN DAY INT FUL</t>
  </si>
  <si>
    <t xml:space="preserve">SENECA ALTDY                  </t>
  </si>
  <si>
    <t xml:space="preserve">STARS DAY INT CHILD           </t>
  </si>
  <si>
    <t xml:space="preserve">STARS DY INT                  </t>
  </si>
  <si>
    <t xml:space="preserve">STARS MHS CHILD               </t>
  </si>
  <si>
    <t xml:space="preserve">STARS MHS                     </t>
  </si>
  <si>
    <t>SRP-WINGS OF LOVE ARF CARE HME</t>
  </si>
  <si>
    <t xml:space="preserve">SRP WINGSOFL                  </t>
  </si>
  <si>
    <t xml:space="preserve">SENECA CENTER EPSDT DAY REHAB </t>
  </si>
  <si>
    <t xml:space="preserve">SENECA EP DY                  </t>
  </si>
  <si>
    <t xml:space="preserve">BOSS OAKLAND MHS ADULT        </t>
  </si>
  <si>
    <t xml:space="preserve">BOSS OAK MHS                  </t>
  </si>
  <si>
    <t xml:space="preserve">BOSS SOUTH COUNTY MHS ADULT   </t>
  </si>
  <si>
    <t xml:space="preserve">BOSS SOCO MH                  </t>
  </si>
  <si>
    <t xml:space="preserve">SENECA DESTINY&amp;OTHER INT FULL </t>
  </si>
  <si>
    <t xml:space="preserve">SENECA DS DY                  </t>
  </si>
  <si>
    <t>SENECA DESTINY&amp;OTHER MHS CHILD</t>
  </si>
  <si>
    <t xml:space="preserve">SENECA DS MH                  </t>
  </si>
  <si>
    <t xml:space="preserve">EBAC EPSDT PARKER MHS CHILD   </t>
  </si>
  <si>
    <t xml:space="preserve">PARKER                        </t>
  </si>
  <si>
    <t xml:space="preserve">LIN EPSDT                     </t>
  </si>
  <si>
    <t xml:space="preserve">SRP - NEW HORIZONS 1          </t>
  </si>
  <si>
    <t xml:space="preserve">SRP HORIZON1                  </t>
  </si>
  <si>
    <t xml:space="preserve">SRP - NEW HORIZONS 2          </t>
  </si>
  <si>
    <t xml:space="preserve">SRP HORIZON2                  </t>
  </si>
  <si>
    <t xml:space="preserve">SRP - NEW HORIZONS 3          </t>
  </si>
  <si>
    <t xml:space="preserve">SRP HORIZON3                  </t>
  </si>
  <si>
    <t xml:space="preserve">FRED FINCH CLEVELAND DAY REAB </t>
  </si>
  <si>
    <t xml:space="preserve">FFYC CLEVLND                  </t>
  </si>
  <si>
    <t xml:space="preserve">SRP - ELETE ESTATE CARE FACIL </t>
  </si>
  <si>
    <t xml:space="preserve">SRP ELETE                     </t>
  </si>
  <si>
    <t>TELECARE VIDA NUEVA DETOX PRGM</t>
  </si>
  <si>
    <t xml:space="preserve">VIDA DETOX                    </t>
  </si>
  <si>
    <t xml:space="preserve">SO CO CRISIS RESP PLEASANTON  </t>
  </si>
  <si>
    <t xml:space="preserve">PLEASNT CRIS                  </t>
  </si>
  <si>
    <t xml:space="preserve">TELECARE STAGES MH ADULT      </t>
  </si>
  <si>
    <t xml:space="preserve">STAGES                        </t>
  </si>
  <si>
    <t>TELECARE SENIOR ASSMT SERVICES</t>
  </si>
  <si>
    <t xml:space="preserve">SAS                           </t>
  </si>
  <si>
    <t>MEDICAL HILL BAY AREA NEUROPGM</t>
  </si>
  <si>
    <t xml:space="preserve">MEDICAL HILL                  </t>
  </si>
  <si>
    <t>TELECARE GARF BAY AREA NEUROPM</t>
  </si>
  <si>
    <t xml:space="preserve">GARF BAYAREA                  </t>
  </si>
  <si>
    <t>FFYC EDNA BREWER DAY REHAB FUL</t>
  </si>
  <si>
    <t xml:space="preserve">FFYC BREWER                   </t>
  </si>
  <si>
    <t xml:space="preserve">REGISTERED VIA UCL            </t>
  </si>
  <si>
    <t xml:space="preserve">REG VIA UCL                   </t>
  </si>
  <si>
    <t>SENECA BUILDING BLKS DAYINT FL</t>
  </si>
  <si>
    <t xml:space="preserve">SNECA BB DYF                  </t>
  </si>
  <si>
    <t xml:space="preserve">BAPTISTE-AHMED LINDA ACSW     </t>
  </si>
  <si>
    <t xml:space="preserve">BAPTISTE-AHM                  </t>
  </si>
  <si>
    <t xml:space="preserve">BIANCHINI KAREN LCSW          </t>
  </si>
  <si>
    <t xml:space="preserve">BIANCHINI KA                  </t>
  </si>
  <si>
    <t xml:space="preserve">BECKER PATRICIA B LCSW        </t>
  </si>
  <si>
    <t xml:space="preserve">BECKER PATRI                  </t>
  </si>
  <si>
    <t xml:space="preserve">CRINER ROBIN LCSW             </t>
  </si>
  <si>
    <t xml:space="preserve">CRINER ROBIN                  </t>
  </si>
  <si>
    <t xml:space="preserve">FEIGELMAN GLEN LCSW           </t>
  </si>
  <si>
    <t xml:space="preserve">FEIGELMAN GL                  </t>
  </si>
  <si>
    <t xml:space="preserve">GELBART MICHAEL LCSW          </t>
  </si>
  <si>
    <t xml:space="preserve">GELBART MICH                  </t>
  </si>
  <si>
    <t xml:space="preserve">HINEY DANA LCSW               </t>
  </si>
  <si>
    <t xml:space="preserve">HINEY DANA                    </t>
  </si>
  <si>
    <t xml:space="preserve">KATZBURG LORI LCSW            </t>
  </si>
  <si>
    <t xml:space="preserve">KATZBURG LOR                  </t>
  </si>
  <si>
    <t xml:space="preserve">LIM YANKOWITZ MARION LCSW     </t>
  </si>
  <si>
    <t xml:space="preserve">LIM YANKOWIT                  </t>
  </si>
  <si>
    <t xml:space="preserve">MALKIN PAUL LCSW              </t>
  </si>
  <si>
    <t xml:space="preserve">MALKIN PAUL                   </t>
  </si>
  <si>
    <t xml:space="preserve">MANOLEAS PETER LCSW           </t>
  </si>
  <si>
    <t xml:space="preserve">MANOLEAS PET                  </t>
  </si>
  <si>
    <t xml:space="preserve">MCKNIGHT ROSEMARY LCSW        </t>
  </si>
  <si>
    <t xml:space="preserve">MCKNIGHT ROS                  </t>
  </si>
  <si>
    <t xml:space="preserve">MICHAELSEN RACHEL LCSW        </t>
  </si>
  <si>
    <t xml:space="preserve">MICHAELSEN R                  </t>
  </si>
  <si>
    <t xml:space="preserve">OKAMURA MARIAN LCSW           </t>
  </si>
  <si>
    <t xml:space="preserve">OKAMURA MAR                   </t>
  </si>
  <si>
    <t xml:space="preserve">PETRACEK LAURA LCSW           </t>
  </si>
  <si>
    <t xml:space="preserve">PETRACEK LAU                  </t>
  </si>
  <si>
    <t xml:space="preserve">PHILIPP CONNIE LCSW           </t>
  </si>
  <si>
    <t xml:space="preserve">PHILIPP CONN                  </t>
  </si>
  <si>
    <t xml:space="preserve">RICHARD KATHLEEN LCSW         </t>
  </si>
  <si>
    <t xml:space="preserve">RICHARD KATH                  </t>
  </si>
  <si>
    <t xml:space="preserve">SACHS JANET LCSW              </t>
  </si>
  <si>
    <t xml:space="preserve">SACHS JANET                   </t>
  </si>
  <si>
    <t xml:space="preserve">SACHS NIKKI LCSW              </t>
  </si>
  <si>
    <t xml:space="preserve">SACHS NIKKI                   </t>
  </si>
  <si>
    <t xml:space="preserve">SAXTON PAUL LCSW              </t>
  </si>
  <si>
    <t xml:space="preserve">SAXTON PAUL                   </t>
  </si>
  <si>
    <t xml:space="preserve">SPOHN PATRICIA LCSW           </t>
  </si>
  <si>
    <t xml:space="preserve">SPOHN PATRIC                  </t>
  </si>
  <si>
    <t xml:space="preserve">STARK SANDRA LCSW             </t>
  </si>
  <si>
    <t xml:space="preserve">STARK SANDRA                  </t>
  </si>
  <si>
    <t xml:space="preserve">TERRY KENNETH LCSW            </t>
  </si>
  <si>
    <t xml:space="preserve">TERRY KENNET                  </t>
  </si>
  <si>
    <t xml:space="preserve">VILLANI JOANNE LCSW           </t>
  </si>
  <si>
    <t xml:space="preserve">VILLANI JOAN                  </t>
  </si>
  <si>
    <t xml:space="preserve">WILLIAMS BARBARA LCSW         </t>
  </si>
  <si>
    <t xml:space="preserve">WILLIAMS BAR                  </t>
  </si>
  <si>
    <t xml:space="preserve">YOLPER STEPHANIE LCSW         </t>
  </si>
  <si>
    <t xml:space="preserve">WOLPER STEPH                  </t>
  </si>
  <si>
    <t xml:space="preserve">BERKE JODY MFCC               </t>
  </si>
  <si>
    <t xml:space="preserve">BERKE JODY                    </t>
  </si>
  <si>
    <t xml:space="preserve">DAMON BILLIE JUNE MFCC        </t>
  </si>
  <si>
    <t xml:space="preserve">DAMON BILLIE                  </t>
  </si>
  <si>
    <t xml:space="preserve">DeCOUDREAUX MARION MFCC       </t>
  </si>
  <si>
    <t xml:space="preserve">DECOUDREAUXM                  </t>
  </si>
  <si>
    <t xml:space="preserve">DEHAAS CARLA MFCC             </t>
  </si>
  <si>
    <t xml:space="preserve">DEHAAS CARLA                  </t>
  </si>
  <si>
    <t xml:space="preserve">ELDOR OFRA MFCC               </t>
  </si>
  <si>
    <t xml:space="preserve">ELDOR OFRA                    </t>
  </si>
  <si>
    <t xml:space="preserve">ESSEX DEBORAH MFCC            </t>
  </si>
  <si>
    <t xml:space="preserve">ESSEX DEBORA                  </t>
  </si>
  <si>
    <t xml:space="preserve">FABRIC CAROL MFCC             </t>
  </si>
  <si>
    <t xml:space="preserve">FABRIC CAROL                  </t>
  </si>
  <si>
    <t xml:space="preserve">FORTNER RAYMOND MFCC          </t>
  </si>
  <si>
    <t xml:space="preserve">FORTNER RAY                   </t>
  </si>
  <si>
    <t xml:space="preserve">GOLDSTEIN LINDA MFCC          </t>
  </si>
  <si>
    <t xml:space="preserve">GOLDSTEIN LI                  </t>
  </si>
  <si>
    <t xml:space="preserve">HARGROVE PAMELA MFCC          </t>
  </si>
  <si>
    <t xml:space="preserve">HARGROVE PA                   </t>
  </si>
  <si>
    <t xml:space="preserve">HEISLER MARILYN MFCC          </t>
  </si>
  <si>
    <t xml:space="preserve">HEISLER MARI                  </t>
  </si>
  <si>
    <t xml:space="preserve">HERZMARK NICHOLAS MFCC        </t>
  </si>
  <si>
    <t xml:space="preserve">HERZMARK NIC                  </t>
  </si>
  <si>
    <t xml:space="preserve">ISAACS ERNEST MFCC            </t>
  </si>
  <si>
    <t xml:space="preserve">ISAACS ERNES                  </t>
  </si>
  <si>
    <t xml:space="preserve">JACKSON NANCY MFCC            </t>
  </si>
  <si>
    <t xml:space="preserve">JACKSON NAN                   </t>
  </si>
  <si>
    <t xml:space="preserve">KAIMOWITZ BARBARA MFCC        </t>
  </si>
  <si>
    <t xml:space="preserve">KAIMOWITZ BA                  </t>
  </si>
  <si>
    <t xml:space="preserve">KANE EILEEN MFCC              </t>
  </si>
  <si>
    <t xml:space="preserve">KANE EILEEN                   </t>
  </si>
  <si>
    <t xml:space="preserve">KLEIN MARC MFCC               </t>
  </si>
  <si>
    <t xml:space="preserve">KLEIN MARC                    </t>
  </si>
  <si>
    <t xml:space="preserve">KRUSZYNSKI STEVEN MFCC        </t>
  </si>
  <si>
    <t xml:space="preserve">KRUSZYNSKI S                  </t>
  </si>
  <si>
    <t xml:space="preserve">KUNZ ALESIA MFCC              </t>
  </si>
  <si>
    <t xml:space="preserve">KUNZ ALESIA                   </t>
  </si>
  <si>
    <t xml:space="preserve">LUCERO WENDY MFCC             </t>
  </si>
  <si>
    <t xml:space="preserve">LUCERO WEND                   </t>
  </si>
  <si>
    <t xml:space="preserve">MARCUS LYNN ELLEN MFCC        </t>
  </si>
  <si>
    <t xml:space="preserve">MARCUS LYNN                   </t>
  </si>
  <si>
    <t xml:space="preserve">MCCAFFREY PATRICIA MFCC       </t>
  </si>
  <si>
    <t xml:space="preserve">MCCAFFREY PI                  </t>
  </si>
  <si>
    <t xml:space="preserve">MEYER SYBIL MFCC              </t>
  </si>
  <si>
    <t xml:space="preserve">MEYER SYBIL                   </t>
  </si>
  <si>
    <t xml:space="preserve">MONTGOMERY ELIZABETH MFCC     </t>
  </si>
  <si>
    <t xml:space="preserve">MONTGOMERY                    </t>
  </si>
  <si>
    <t xml:space="preserve">MOYERS JAMES MFCC             </t>
  </si>
  <si>
    <t xml:space="preserve">MOYERS JAMES                  </t>
  </si>
  <si>
    <t xml:space="preserve">NEILL CYNTHIA MFCC            </t>
  </si>
  <si>
    <t xml:space="preserve">NEILL CYNTHI                  </t>
  </si>
  <si>
    <t xml:space="preserve">ROHRER JUDITH MFCC            </t>
  </si>
  <si>
    <t xml:space="preserve">ROHRER JUDIT                  </t>
  </si>
  <si>
    <t xml:space="preserve">ROHRER PHILLIP MFCC           </t>
  </si>
  <si>
    <t xml:space="preserve">ROHRER PHIL                   </t>
  </si>
  <si>
    <t xml:space="preserve">ROSE KAREN MFCC               </t>
  </si>
  <si>
    <t xml:space="preserve">ROSE KAREN                    </t>
  </si>
  <si>
    <t xml:space="preserve">SAKHAI ROYA MFCC              </t>
  </si>
  <si>
    <t xml:space="preserve">SAKHAI ROYA                   </t>
  </si>
  <si>
    <t xml:space="preserve">SELLINGER KAREN MFCC          </t>
  </si>
  <si>
    <t xml:space="preserve">SELLINGER KA                  </t>
  </si>
  <si>
    <t xml:space="preserve">SEMLER MARY ANN MFCC          </t>
  </si>
  <si>
    <t xml:space="preserve">SEMLER MARY                   </t>
  </si>
  <si>
    <t xml:space="preserve">SENA MARGARETA MFCC           </t>
  </si>
  <si>
    <t xml:space="preserve">SENA MARGAR                   </t>
  </si>
  <si>
    <t xml:space="preserve">SHIRES RHIANNON   MFCC        </t>
  </si>
  <si>
    <t xml:space="preserve">SHIRES RHIAN                  </t>
  </si>
  <si>
    <t xml:space="preserve">ANDERSON WILLIAM MD           </t>
  </si>
  <si>
    <t xml:space="preserve">ANDERSON WIL                  </t>
  </si>
  <si>
    <t xml:space="preserve">BLACKLIDGE VIRGINIA MD        </t>
  </si>
  <si>
    <t xml:space="preserve">BLACKLIDGE V                  </t>
  </si>
  <si>
    <t xml:space="preserve">BROWER TIMOTHY MD             </t>
  </si>
  <si>
    <t xml:space="preserve">BROWER TIMOT                  </t>
  </si>
  <si>
    <t xml:space="preserve">BUCKLEY ROBERT MD             </t>
  </si>
  <si>
    <t xml:space="preserve">BUCKLEY ROBE                  </t>
  </si>
  <si>
    <t xml:space="preserve">CARFAGNI ARTHUR MD            </t>
  </si>
  <si>
    <t xml:space="preserve">CARFAGNI ART                  </t>
  </si>
  <si>
    <t xml:space="preserve">CHAN JOSEPH MD                </t>
  </si>
  <si>
    <t xml:space="preserve">CHAN JOSEPH                   </t>
  </si>
  <si>
    <t xml:space="preserve">CHAN YIM MD                   </t>
  </si>
  <si>
    <t xml:space="preserve">CHAPPELL ANN MD               </t>
  </si>
  <si>
    <t xml:space="preserve">CHAPPELL ANN                  </t>
  </si>
  <si>
    <t xml:space="preserve">COHEN ALAN MD                 </t>
  </si>
  <si>
    <t xml:space="preserve">COHEN ALAN                    </t>
  </si>
  <si>
    <t xml:space="preserve">COHEN LAWRENCE MD             </t>
  </si>
  <si>
    <t xml:space="preserve">COHEN LAWR                    </t>
  </si>
  <si>
    <t xml:space="preserve">COHN DAVID MD                 </t>
  </si>
  <si>
    <t xml:space="preserve">COHN DAVID                    </t>
  </si>
  <si>
    <t xml:space="preserve">CONNOR CHARLES MD             </t>
  </si>
  <si>
    <t xml:space="preserve">CONNOR CHARL                  </t>
  </si>
  <si>
    <t xml:space="preserve">COOPER JOANNE MD              </t>
  </si>
  <si>
    <t xml:space="preserve">COOPER JOANN                  </t>
  </si>
  <si>
    <t xml:space="preserve">CORTES JAIME MD               </t>
  </si>
  <si>
    <t xml:space="preserve">CORTES JAIME                  </t>
  </si>
  <si>
    <t xml:space="preserve">DANIELS OWEN MD               </t>
  </si>
  <si>
    <t xml:space="preserve">DANIELS OWEN                  </t>
  </si>
  <si>
    <t xml:space="preserve">DAVID GEORGE MD               </t>
  </si>
  <si>
    <t xml:space="preserve">DAVID GEORGE                  </t>
  </si>
  <si>
    <t xml:space="preserve">DAVIS RAMONA MD               </t>
  </si>
  <si>
    <t xml:space="preserve">DAVIS RAMONA                  </t>
  </si>
  <si>
    <t xml:space="preserve">DOLGOFF ROBERT MD             </t>
  </si>
  <si>
    <t xml:space="preserve">DOLGOFF ROB                   </t>
  </si>
  <si>
    <t xml:space="preserve">DOWNS SUSAN MD                </t>
  </si>
  <si>
    <t xml:space="preserve">DOWNS SUSAN                   </t>
  </si>
  <si>
    <t xml:space="preserve">ECONOME KATHRYN MD            </t>
  </si>
  <si>
    <t xml:space="preserve">ECONOME KATH                  </t>
  </si>
  <si>
    <t xml:space="preserve">ENGERS JOHN MD                </t>
  </si>
  <si>
    <t xml:space="preserve">ENGERS JOHN                   </t>
  </si>
  <si>
    <t xml:space="preserve">FISCHER CRAIG MD              </t>
  </si>
  <si>
    <t xml:space="preserve">FISCHER CRAI                  </t>
  </si>
  <si>
    <t xml:space="preserve">FISHER WILLIAM MD             </t>
  </si>
  <si>
    <t xml:space="preserve">FISHER WILLI                  </t>
  </si>
  <si>
    <t xml:space="preserve">FISHMAN PAUL MD               </t>
  </si>
  <si>
    <t xml:space="preserve">FISHMAN PAUL                  </t>
  </si>
  <si>
    <t xml:space="preserve">FOOTE WILLIAM MD              </t>
  </si>
  <si>
    <t xml:space="preserve">FOOTE WILLIA                  </t>
  </si>
  <si>
    <t xml:space="preserve">FREELAND HENRY MD             </t>
  </si>
  <si>
    <t xml:space="preserve">FREELAND HEN                  </t>
  </si>
  <si>
    <t xml:space="preserve">FREEDMAN PETER MD             </t>
  </si>
  <si>
    <t xml:space="preserve">FREEDMAN PET                  </t>
  </si>
  <si>
    <t xml:space="preserve">GABBY JAMES MD                </t>
  </si>
  <si>
    <t xml:space="preserve">GABBY JAMES                   </t>
  </si>
  <si>
    <t xml:space="preserve">GAMBLE MICHAEL MD             </t>
  </si>
  <si>
    <t xml:space="preserve">GAMBLE MICH                   </t>
  </si>
  <si>
    <t xml:space="preserve">GELBART JERRY MD              </t>
  </si>
  <si>
    <t xml:space="preserve">GELBART JER                   </t>
  </si>
  <si>
    <t xml:space="preserve">GOLDBERG HAROLD MD            </t>
  </si>
  <si>
    <t xml:space="preserve">GOLDBERG HA                   </t>
  </si>
  <si>
    <t xml:space="preserve">GOLDSTONE RACHEL MD           </t>
  </si>
  <si>
    <t xml:space="preserve">GOLDSTONE R                   </t>
  </si>
  <si>
    <t xml:space="preserve">GREENBERG PETER MD            </t>
  </si>
  <si>
    <t xml:space="preserve">GREENBERG P                   </t>
  </si>
  <si>
    <t xml:space="preserve">HANSCOM ROBERT MD             </t>
  </si>
  <si>
    <t xml:space="preserve">HANSCOM ROB                   </t>
  </si>
  <si>
    <t xml:space="preserve">HARTER THOMAS MD              </t>
  </si>
  <si>
    <t xml:space="preserve">HARTER THOM                   </t>
  </si>
  <si>
    <t xml:space="preserve">HEISLER STEPHEN MD            </t>
  </si>
  <si>
    <t xml:space="preserve">HEISLER STEP                  </t>
  </si>
  <si>
    <t xml:space="preserve">HENSALA JOHN MD               </t>
  </si>
  <si>
    <t xml:space="preserve">HENSALA JOHN                  </t>
  </si>
  <si>
    <t xml:space="preserve">HEPPS ROBERT MD               </t>
  </si>
  <si>
    <t xml:space="preserve">HEPPS ROBERT                  </t>
  </si>
  <si>
    <t xml:space="preserve">HURLEY JEREMY MD              </t>
  </si>
  <si>
    <t xml:space="preserve">HURLEY JEREM                  </t>
  </si>
  <si>
    <t xml:space="preserve">JANZEN CALVIN L MD            </t>
  </si>
  <si>
    <t xml:space="preserve">JANZEN CALVI                  </t>
  </si>
  <si>
    <t xml:space="preserve">KAZMI SYED MD                 </t>
  </si>
  <si>
    <t xml:space="preserve">KAZMI SYED                    </t>
  </si>
  <si>
    <t xml:space="preserve">KILDUFF RAYMOND MD            </t>
  </si>
  <si>
    <t xml:space="preserve">KILDUFF RAYM                  </t>
  </si>
  <si>
    <t xml:space="preserve">KNIGHT ROBERT MD              </t>
  </si>
  <si>
    <t xml:space="preserve">KNIGHT ROBRT                  </t>
  </si>
  <si>
    <t xml:space="preserve">KORMOS HARRY MD               </t>
  </si>
  <si>
    <t xml:space="preserve">KORMOS HAR                    </t>
  </si>
  <si>
    <t xml:space="preserve">KOSS YELENA MD                </t>
  </si>
  <si>
    <t xml:space="preserve">KOSS YELENA                   </t>
  </si>
  <si>
    <t xml:space="preserve">KRAUSE STEPHEN MD             </t>
  </si>
  <si>
    <t xml:space="preserve">KRAUSE STEPH                  </t>
  </si>
  <si>
    <t xml:space="preserve">KRIGEL STUART MD              </t>
  </si>
  <si>
    <t xml:space="preserve">KRIGEL STUAR                  </t>
  </si>
  <si>
    <t xml:space="preserve">LAMM JAMES MD                 </t>
  </si>
  <si>
    <t xml:space="preserve">LAMM JAMES                    </t>
  </si>
  <si>
    <t xml:space="preserve">LAU HERBERT MD                </t>
  </si>
  <si>
    <t xml:space="preserve">LAU HERBERT                   </t>
  </si>
  <si>
    <t xml:space="preserve">LAY STEPHEN MD                </t>
  </si>
  <si>
    <t xml:space="preserve">LAY STEPHEN                   </t>
  </si>
  <si>
    <t xml:space="preserve">LE PHUONG-THUY MD             </t>
  </si>
  <si>
    <t xml:space="preserve">LEPHUONG-TH                   </t>
  </si>
  <si>
    <t xml:space="preserve">LIPSCOMB WENDELL MD           </t>
  </si>
  <si>
    <t xml:space="preserve">LIPSCOMB WEN                  </t>
  </si>
  <si>
    <t xml:space="preserve">LOHMANN DONNA MD              </t>
  </si>
  <si>
    <t xml:space="preserve">LOHMANN DON                   </t>
  </si>
  <si>
    <t xml:space="preserve">MACMASTER SR WILLIAM MD       </t>
  </si>
  <si>
    <t xml:space="preserve">MACMASTER SR                  </t>
  </si>
  <si>
    <t xml:space="preserve">MANN HAROLD MD                </t>
  </si>
  <si>
    <t xml:space="preserve">MANN HAROLD                   </t>
  </si>
  <si>
    <t xml:space="preserve">MARCUS JOEL MD                </t>
  </si>
  <si>
    <t xml:space="preserve">MARCUS JOEL                   </t>
  </si>
  <si>
    <t xml:space="preserve">MAY DANIEL MD                 </t>
  </si>
  <si>
    <t xml:space="preserve">MAY DANIEL                    </t>
  </si>
  <si>
    <t xml:space="preserve">MICHEL CHRISTOPHER MD         </t>
  </si>
  <si>
    <t xml:space="preserve">MICHEL CHRIS                  </t>
  </si>
  <si>
    <t xml:space="preserve">MOORHEAD WALTER MD            </t>
  </si>
  <si>
    <t xml:space="preserve">MOORHEAD W                    </t>
  </si>
  <si>
    <t xml:space="preserve">MULTANI GURMEET MD            </t>
  </si>
  <si>
    <t xml:space="preserve">MULTANI GURM                  </t>
  </si>
  <si>
    <t xml:space="preserve">NGUYEN TAO MD                 </t>
  </si>
  <si>
    <t xml:space="preserve">NGUYEN TAO                    </t>
  </si>
  <si>
    <t xml:space="preserve">NOVIS LAWRENCE MD             </t>
  </si>
  <si>
    <t xml:space="preserve">NOVIS LAWREN                  </t>
  </si>
  <si>
    <t xml:space="preserve">NOWIK CHARLYNE MD             </t>
  </si>
  <si>
    <t xml:space="preserve">NOWIK CHARLY                  </t>
  </si>
  <si>
    <t xml:space="preserve">NYE GARY MD                   </t>
  </si>
  <si>
    <t xml:space="preserve">NYE GARY                      </t>
  </si>
  <si>
    <t xml:space="preserve">OLSEN RICHARD MD              </t>
  </si>
  <si>
    <t xml:space="preserve">OLSEN RICHAR                  </t>
  </si>
  <si>
    <t xml:space="preserve">OZORES JULIO MD               </t>
  </si>
  <si>
    <t xml:space="preserve">OZORES JULIO                  </t>
  </si>
  <si>
    <t xml:space="preserve">PATEL RENUKA MD               </t>
  </si>
  <si>
    <t xml:space="preserve">PATEL RENUKA                  </t>
  </si>
  <si>
    <t xml:space="preserve">PHILLIPS FREDRIC MD           </t>
  </si>
  <si>
    <t xml:space="preserve">PHILLIPS FRE                  </t>
  </si>
  <si>
    <t xml:space="preserve">PICKER ROBERT MD              </t>
  </si>
  <si>
    <t xml:space="preserve">PICKER ROBER                  </t>
  </si>
  <si>
    <t xml:space="preserve">RAMOS GLORIA MD               </t>
  </si>
  <si>
    <t xml:space="preserve">RAMOS GLORIA                  </t>
  </si>
  <si>
    <t xml:space="preserve">RICE DAROL MD                 </t>
  </si>
  <si>
    <t xml:space="preserve">RICE DAROL                    </t>
  </si>
  <si>
    <t xml:space="preserve">RICHARDSON BRIAN MD           </t>
  </si>
  <si>
    <t xml:space="preserve">RICHARDSON B                  </t>
  </si>
  <si>
    <t xml:space="preserve">RIENZI ANTHONY MD             </t>
  </si>
  <si>
    <t xml:space="preserve">RIENZI ANTHO                  </t>
  </si>
  <si>
    <t xml:space="preserve">ROSENBERG JOHN MD             </t>
  </si>
  <si>
    <t xml:space="preserve">ROSENBERG JO                  </t>
  </si>
  <si>
    <t xml:space="preserve">ROSTKOWSKI JOHN MD            </t>
  </si>
  <si>
    <t xml:space="preserve">ROSTKOWSKI J                  </t>
  </si>
  <si>
    <t xml:space="preserve">ROWAN SHEILA MD               </t>
  </si>
  <si>
    <t xml:space="preserve">ROWAN SHEILA                  </t>
  </si>
  <si>
    <t xml:space="preserve">ROXAS LUISITO MD              </t>
  </si>
  <si>
    <t xml:space="preserve">ROXAS LUISIT                  </t>
  </si>
  <si>
    <t xml:space="preserve">SANDERS E WAYNE MD            </t>
  </si>
  <si>
    <t xml:space="preserve">SANDERS WAYN                  </t>
  </si>
  <si>
    <t xml:space="preserve">SCHLIES EDWARD MD             </t>
  </si>
  <si>
    <t xml:space="preserve">SCHLIES EDWA                  </t>
  </si>
  <si>
    <t xml:space="preserve">SCHREIBER ROBERT MD           </t>
  </si>
  <si>
    <t xml:space="preserve">SCHREIBER RO                  </t>
  </si>
  <si>
    <t xml:space="preserve">SCOTT ALAN MD                 </t>
  </si>
  <si>
    <t xml:space="preserve">SCOTT ALAN                    </t>
  </si>
  <si>
    <t xml:space="preserve">SHANNAHAN JILL MD             </t>
  </si>
  <si>
    <t xml:space="preserve">SHANNAHAN JI                  </t>
  </si>
  <si>
    <t xml:space="preserve">SHEFAYEE SAID MD              </t>
  </si>
  <si>
    <t xml:space="preserve">SHEFAYEE SAI                  </t>
  </si>
  <si>
    <t xml:space="preserve">SIMMONS CHARLINE MD           </t>
  </si>
  <si>
    <t xml:space="preserve">SIMMONS CHA                   </t>
  </si>
  <si>
    <t xml:space="preserve">SINGER RICHARD MD             </t>
  </si>
  <si>
    <t xml:space="preserve">SINGER RICHA                  </t>
  </si>
  <si>
    <t xml:space="preserve">SMITH JAMES MD                </t>
  </si>
  <si>
    <t xml:space="preserve">SMITH JAMES                   </t>
  </si>
  <si>
    <t xml:space="preserve">STEPHENS JOHN MD              </t>
  </si>
  <si>
    <t xml:space="preserve">STEPHENS JOH                  </t>
  </si>
  <si>
    <t xml:space="preserve">SUNG SUI-KWONG MD             </t>
  </si>
  <si>
    <t xml:space="preserve">SUNG SUI-KWO                  </t>
  </si>
  <si>
    <t xml:space="preserve">TA TUONG-VI MD                </t>
  </si>
  <si>
    <t xml:space="preserve">TA TUONG-VI                   </t>
  </si>
  <si>
    <t xml:space="preserve">TANDINCO ARTOTELES MD         </t>
  </si>
  <si>
    <t xml:space="preserve">TANDINCO ART                  </t>
  </si>
  <si>
    <t xml:space="preserve">THAI VINH MD                  </t>
  </si>
  <si>
    <t xml:space="preserve">TOM SANFORD MD                </t>
  </si>
  <si>
    <t xml:space="preserve">TOM SANFORD                   </t>
  </si>
  <si>
    <t xml:space="preserve">TOWER DAVID MD                </t>
  </si>
  <si>
    <t xml:space="preserve">TOWER DAVID                   </t>
  </si>
  <si>
    <t xml:space="preserve">TRAN NAM MD                   </t>
  </si>
  <si>
    <t xml:space="preserve">TRAUTNER RICK MD              </t>
  </si>
  <si>
    <t xml:space="preserve">TRAUTNER RIC                  </t>
  </si>
  <si>
    <t xml:space="preserve">UNGER RICHARD MD              </t>
  </si>
  <si>
    <t xml:space="preserve">UNGER RICHAR                  </t>
  </si>
  <si>
    <t xml:space="preserve">VARSHNEY NAKUL MD             </t>
  </si>
  <si>
    <t xml:space="preserve">VARSHNEY NAK                  </t>
  </si>
  <si>
    <t xml:space="preserve">VERMILION DANIEL MD           </t>
  </si>
  <si>
    <t xml:space="preserve">VERMILION DA                  </t>
  </si>
  <si>
    <t xml:space="preserve">VU OANH MD                    </t>
  </si>
  <si>
    <t xml:space="preserve">WANG GING-LONG MD             </t>
  </si>
  <si>
    <t xml:space="preserve">WANG GING LO                  </t>
  </si>
  <si>
    <t xml:space="preserve">WARAICH BHUPINDER MD          </t>
  </si>
  <si>
    <t xml:space="preserve">WARAICH BHUP                  </t>
  </si>
  <si>
    <t xml:space="preserve">WARAICH JAAP MD               </t>
  </si>
  <si>
    <t xml:space="preserve">WARAICH JAAP                  </t>
  </si>
  <si>
    <t xml:space="preserve">WASSERMANN FRANZ MD           </t>
  </si>
  <si>
    <t xml:space="preserve">WASSERMANN F                  </t>
  </si>
  <si>
    <t xml:space="preserve">WEISMAN GILBERT MD            </t>
  </si>
  <si>
    <t xml:space="preserve">WEISMAN GILB                  </t>
  </si>
  <si>
    <t xml:space="preserve">WEISS DENNIS MD               </t>
  </si>
  <si>
    <t xml:space="preserve">WEISS DENNIS                  </t>
  </si>
  <si>
    <t xml:space="preserve">WIDROE HARVEY MD              </t>
  </si>
  <si>
    <t xml:space="preserve">WIDROE HARV                   </t>
  </si>
  <si>
    <t xml:space="preserve">WILSON CAROLYN MD             </t>
  </si>
  <si>
    <t xml:space="preserve">WILSON CAROL                  </t>
  </si>
  <si>
    <t xml:space="preserve">WILSON MITCHELL MD            </t>
  </si>
  <si>
    <t xml:space="preserve">WILSON MITCH                  </t>
  </si>
  <si>
    <t xml:space="preserve">WOLFE SHELDON MD              </t>
  </si>
  <si>
    <t xml:space="preserve">WOLFE SHELD                   </t>
  </si>
  <si>
    <t xml:space="preserve">WOLMAN CAROL MD               </t>
  </si>
  <si>
    <t xml:space="preserve">WOLMAN CAROL                  </t>
  </si>
  <si>
    <t xml:space="preserve">YANDELL WILSON MD             </t>
  </si>
  <si>
    <t xml:space="preserve">YANDELL WILS                  </t>
  </si>
  <si>
    <t xml:space="preserve">ZIM ALYOSHA MD                </t>
  </si>
  <si>
    <t xml:space="preserve">ZIM ALYOSHA                   </t>
  </si>
  <si>
    <t xml:space="preserve">ADAMS CRAIG PhD               </t>
  </si>
  <si>
    <t xml:space="preserve">ADAMS CRAIG                   </t>
  </si>
  <si>
    <t xml:space="preserve">ADAMSKI MARCELLA PhD          </t>
  </si>
  <si>
    <t xml:space="preserve">ADAMSKI MAR                   </t>
  </si>
  <si>
    <t xml:space="preserve">AKINS FAREN PhD               </t>
  </si>
  <si>
    <t xml:space="preserve">AKINS FAREN                   </t>
  </si>
  <si>
    <t xml:space="preserve">ANDERSON BRUCE PHD            </t>
  </si>
  <si>
    <t xml:space="preserve">ANDERSON BRU                  </t>
  </si>
  <si>
    <t xml:space="preserve">ANSON JOHN PHD                </t>
  </si>
  <si>
    <t xml:space="preserve">ANSON JOHN                    </t>
  </si>
  <si>
    <t xml:space="preserve">AUGE REBECCA PHD              </t>
  </si>
  <si>
    <t xml:space="preserve">AUGE REBECCA                  </t>
  </si>
  <si>
    <t xml:space="preserve">BANFORD SUZANNE PhD           </t>
  </si>
  <si>
    <t xml:space="preserve">BANFORD SUZ                   </t>
  </si>
  <si>
    <t xml:space="preserve">BENIOFF LEORA PhD             </t>
  </si>
  <si>
    <t xml:space="preserve">BENIOFF LEOR                  </t>
  </si>
  <si>
    <t xml:space="preserve">BERGMANN SUSAN PhD            </t>
  </si>
  <si>
    <t xml:space="preserve">BERGMANN S                    </t>
  </si>
  <si>
    <t xml:space="preserve">BIANCHINI KAREN PhD           </t>
  </si>
  <si>
    <t xml:space="preserve">BLAIR PAMELA PhD              </t>
  </si>
  <si>
    <t xml:space="preserve">BLAIR PAMELA                  </t>
  </si>
  <si>
    <t xml:space="preserve">BECKER PATRICIA PHD           </t>
  </si>
  <si>
    <t xml:space="preserve">BECKERPATRIC                  </t>
  </si>
  <si>
    <t xml:space="preserve">BLOCH ANNE - MARIE PHD        </t>
  </si>
  <si>
    <t xml:space="preserve">BLOCH ANNE                    </t>
  </si>
  <si>
    <t xml:space="preserve">BLOOM RICHARD PHD             </t>
  </si>
  <si>
    <t xml:space="preserve">BLOOM RICH                    </t>
  </si>
  <si>
    <t xml:space="preserve">BRADEN PATRICIA PHD           </t>
  </si>
  <si>
    <t xml:space="preserve">BRADEN PAT                    </t>
  </si>
  <si>
    <t xml:space="preserve">BRADFORD EVA PHD              </t>
  </si>
  <si>
    <t xml:space="preserve">BRADFORD E                    </t>
  </si>
  <si>
    <t xml:space="preserve">BRADSHAW JOHN PHD             </t>
  </si>
  <si>
    <t xml:space="preserve">BRADSHAW JOH                  </t>
  </si>
  <si>
    <t xml:space="preserve">BRUNSON LINDA PHD             </t>
  </si>
  <si>
    <t xml:space="preserve">BRUNSON LIND                  </t>
  </si>
  <si>
    <t xml:space="preserve">CARUSO CAROL PhD              </t>
  </si>
  <si>
    <t xml:space="preserve">CARUSO CAR                    </t>
  </si>
  <si>
    <t xml:space="preserve">CHANDLER SUSAN PHD            </t>
  </si>
  <si>
    <t xml:space="preserve">CHANDLER S                    </t>
  </si>
  <si>
    <t xml:space="preserve">CHASTAIN JEAN PHD             </t>
  </si>
  <si>
    <t xml:space="preserve">CHASTAIN JEA                  </t>
  </si>
  <si>
    <t xml:space="preserve">CLOUTIER STEVEN PHD           </t>
  </si>
  <si>
    <t xml:space="preserve">CLOUTIER STE                  </t>
  </si>
  <si>
    <t xml:space="preserve">COHEN ALAN PhD                </t>
  </si>
  <si>
    <t xml:space="preserve">COLEMAN JOSHUA PHD            </t>
  </si>
  <si>
    <t xml:space="preserve">COLEMAN JOS                   </t>
  </si>
  <si>
    <t xml:space="preserve">COOK RUDOLPH PHD              </t>
  </si>
  <si>
    <t xml:space="preserve">COOK RUDOL                    </t>
  </si>
  <si>
    <t xml:space="preserve">COOPER LOWELL PHD             </t>
  </si>
  <si>
    <t xml:space="preserve">COOPER LOW                    </t>
  </si>
  <si>
    <t xml:space="preserve">COOPER ROBERT PHD             </t>
  </si>
  <si>
    <t xml:space="preserve">COOPER ROB                    </t>
  </si>
  <si>
    <t xml:space="preserve">CORL NANCY PHD                </t>
  </si>
  <si>
    <t xml:space="preserve">CORL NANCY                    </t>
  </si>
  <si>
    <t xml:space="preserve">DANYLCHUK LYNETTE PhD         </t>
  </si>
  <si>
    <t xml:space="preserve">DANYLCHUK LY                  </t>
  </si>
  <si>
    <t xml:space="preserve">DITTON PATRICIA PhD           </t>
  </si>
  <si>
    <t xml:space="preserve">DITTON PATRI                  </t>
  </si>
  <si>
    <t xml:space="preserve">DONNER ROSE - ANNE PhD        </t>
  </si>
  <si>
    <t xml:space="preserve">DONNER ROSE                   </t>
  </si>
  <si>
    <t xml:space="preserve">DONOHUE WALTER PHD            </t>
  </si>
  <si>
    <t xml:space="preserve">DONOHUE WAL                   </t>
  </si>
  <si>
    <t xml:space="preserve">ECHOLS MICHAEL PHD            </t>
  </si>
  <si>
    <t xml:space="preserve">ECHOLS MICH                   </t>
  </si>
  <si>
    <t xml:space="preserve">FERTITTA SHARON PHD           </t>
  </si>
  <si>
    <t xml:space="preserve">FERTITTA SHA                  </t>
  </si>
  <si>
    <t xml:space="preserve">FLACH CHRISTOPHER PHD         </t>
  </si>
  <si>
    <t xml:space="preserve">FLACH CHRIST                  </t>
  </si>
  <si>
    <t xml:space="preserve">FOSDICK CAROL PHD             </t>
  </si>
  <si>
    <t xml:space="preserve">FOSDICK CARO                  </t>
  </si>
  <si>
    <t xml:space="preserve">GRIFFITH MARLIN PHD           </t>
  </si>
  <si>
    <t xml:space="preserve">GRIFFITH MAR                  </t>
  </si>
  <si>
    <t xml:space="preserve">HAIMOWITZ CARLA PHD           </t>
  </si>
  <si>
    <t xml:space="preserve">HAIMOWITZ CA                  </t>
  </si>
  <si>
    <t xml:space="preserve">HASSAN GINA PHD               </t>
  </si>
  <si>
    <t xml:space="preserve">HASSAN GINA                   </t>
  </si>
  <si>
    <t xml:space="preserve">HEWINS JANET PhD              </t>
  </si>
  <si>
    <t xml:space="preserve">HEWINS JANET                  </t>
  </si>
  <si>
    <t xml:space="preserve">HILMO JO ELLEN PHD            </t>
  </si>
  <si>
    <t xml:space="preserve">HILMO JO ELL                  </t>
  </si>
  <si>
    <t xml:space="preserve">HOLMES PAULINE PHD            </t>
  </si>
  <si>
    <t xml:space="preserve">HOLMES PAU                    </t>
  </si>
  <si>
    <t xml:space="preserve">HOWARD DAVID PHD              </t>
  </si>
  <si>
    <t xml:space="preserve">HOWARD DA                     </t>
  </si>
  <si>
    <t xml:space="preserve">HUGHEY BRENT PHD              </t>
  </si>
  <si>
    <t xml:space="preserve">HUGHEY BR                     </t>
  </si>
  <si>
    <t xml:space="preserve">JACOBS JAMES PHD              </t>
  </si>
  <si>
    <t xml:space="preserve">JACOBS JAM                    </t>
  </si>
  <si>
    <t xml:space="preserve">JOHNSON ELSA PHD              </t>
  </si>
  <si>
    <t xml:space="preserve">JOHNSON EL                    </t>
  </si>
  <si>
    <t xml:space="preserve">JOHNSON JULIUS PHD            </t>
  </si>
  <si>
    <t xml:space="preserve">JOHNSON JU                    </t>
  </si>
  <si>
    <t xml:space="preserve">KALLINGER DAVID PHD           </t>
  </si>
  <si>
    <t xml:space="preserve">KALLINGER D                   </t>
  </si>
  <si>
    <t xml:space="preserve">KAPPLER KEVIN PHD             </t>
  </si>
  <si>
    <t xml:space="preserve">KAPPLER KEV                   </t>
  </si>
  <si>
    <t xml:space="preserve">KNOEPLER SETH PHD             </t>
  </si>
  <si>
    <t xml:space="preserve">KNOEPLER SET                  </t>
  </si>
  <si>
    <t xml:space="preserve">KRAFT CHARLES PHD             </t>
  </si>
  <si>
    <t xml:space="preserve">KRAFT CHARL                   </t>
  </si>
  <si>
    <t xml:space="preserve">KRENEK ROBIN PHD              </t>
  </si>
  <si>
    <t xml:space="preserve">KRENEK ROBIN                  </t>
  </si>
  <si>
    <t xml:space="preserve">KRIEGER-LOWITZ FRAN PHD       </t>
  </si>
  <si>
    <t xml:space="preserve">KRIEGER-LOW                   </t>
  </si>
  <si>
    <t xml:space="preserve">LASSOFF SAUL PHD              </t>
  </si>
  <si>
    <t xml:space="preserve">LASSOFF SAUL                  </t>
  </si>
  <si>
    <t xml:space="preserve">LEVIS LEONARD PHD             </t>
  </si>
  <si>
    <t xml:space="preserve">LEVIS LEONAR                  </t>
  </si>
  <si>
    <t xml:space="preserve">LEW WEI PHD                   </t>
  </si>
  <si>
    <t xml:space="preserve">LINZER JUDITH PHD             </t>
  </si>
  <si>
    <t xml:space="preserve">LINZER JUDIT                  </t>
  </si>
  <si>
    <t xml:space="preserve">LO TEMPIO PAUL PhD            </t>
  </si>
  <si>
    <t xml:space="preserve">LO TEMPIO P                   </t>
  </si>
  <si>
    <t xml:space="preserve">LOEB EMILY PhD                </t>
  </si>
  <si>
    <t xml:space="preserve">LOEB EMILY                    </t>
  </si>
  <si>
    <t xml:space="preserve">MAISEL RICHARD PHD            </t>
  </si>
  <si>
    <t xml:space="preserve">MAISEL RICH                   </t>
  </si>
  <si>
    <t xml:space="preserve">MATLOW ROBERT PHD             </t>
  </si>
  <si>
    <t xml:space="preserve">MATLOW ROB                    </t>
  </si>
  <si>
    <t xml:space="preserve">MICHAELS CAROLYN PHD          </t>
  </si>
  <si>
    <t xml:space="preserve">MICHAELS CAR                  </t>
  </si>
  <si>
    <t xml:space="preserve">MILBURN LUCIA PHD             </t>
  </si>
  <si>
    <t xml:space="preserve">MILBURN LUCI                  </t>
  </si>
  <si>
    <t xml:space="preserve">MONTALVO ROBERTO PHD          </t>
  </si>
  <si>
    <t xml:space="preserve">MONTALVO ROB                  </t>
  </si>
  <si>
    <t xml:space="preserve">MORIARTY DEIRDRE PHD          </t>
  </si>
  <si>
    <t xml:space="preserve">MORIARTY DEI                  </t>
  </si>
  <si>
    <t xml:space="preserve">MUSSEN NURIT PHD              </t>
  </si>
  <si>
    <t xml:space="preserve">MUSSEN NURIT                  </t>
  </si>
  <si>
    <t xml:space="preserve">NELSON BUTLER PHD             </t>
  </si>
  <si>
    <t xml:space="preserve">NELSON BUTLE                  </t>
  </si>
  <si>
    <t xml:space="preserve">NORVILLE ROXANA PHD           </t>
  </si>
  <si>
    <t xml:space="preserve">NORVILLE ROX                  </t>
  </si>
  <si>
    <t xml:space="preserve">NULMAN AUDREY PHD             </t>
  </si>
  <si>
    <t xml:space="preserve">NULMAN AUDR                   </t>
  </si>
  <si>
    <t xml:space="preserve">PARLEE BERT PHD               </t>
  </si>
  <si>
    <t xml:space="preserve">PARLEE BERT                   </t>
  </si>
  <si>
    <t xml:space="preserve">PERLMAN KAREN PHD             </t>
  </si>
  <si>
    <t xml:space="preserve">PERLMAN KAR                   </t>
  </si>
  <si>
    <t xml:space="preserve">POJMAN ANDREW PhD             </t>
  </si>
  <si>
    <t xml:space="preserve">POJMAN ANDR                   </t>
  </si>
  <si>
    <t xml:space="preserve">POLNER PORTIA PHD             </t>
  </si>
  <si>
    <t xml:space="preserve">POLNER PORT                   </t>
  </si>
  <si>
    <t xml:space="preserve">PRESTON ELIZABETH PHD         </t>
  </si>
  <si>
    <t xml:space="preserve">PRESTON ELIZ                  </t>
  </si>
  <si>
    <t xml:space="preserve">PURVES CAROLINE PHD           </t>
  </si>
  <si>
    <t xml:space="preserve">PURVES CARO                   </t>
  </si>
  <si>
    <t xml:space="preserve">RIVIORE JEANNE PHD            </t>
  </si>
  <si>
    <t xml:space="preserve">RIVIORE JEAN                  </t>
  </si>
  <si>
    <t xml:space="preserve">ROBERTS DAVID PhD             </t>
  </si>
  <si>
    <t xml:space="preserve">ROBERTS DAV                   </t>
  </si>
  <si>
    <t xml:space="preserve">RYAN BARBARA PhD              </t>
  </si>
  <si>
    <t xml:space="preserve">RYAN BARBAR                   </t>
  </si>
  <si>
    <t xml:space="preserve">SANDLER DAVID PHD             </t>
  </si>
  <si>
    <t xml:space="preserve">SANDLER DAV                   </t>
  </si>
  <si>
    <t xml:space="preserve">SARDANIS IRENE PHD            </t>
  </si>
  <si>
    <t xml:space="preserve">SARDANIS IRE                  </t>
  </si>
  <si>
    <t xml:space="preserve">SCATENA SUSAN PHD             </t>
  </si>
  <si>
    <t xml:space="preserve">SCATENA SUS                   </t>
  </si>
  <si>
    <t xml:space="preserve">SCHEAR ROBERTA PHD            </t>
  </si>
  <si>
    <t xml:space="preserve">SCHEAR ROBE                   </t>
  </si>
  <si>
    <t xml:space="preserve">SCHMOOKLER EDWARD PHD         </t>
  </si>
  <si>
    <t xml:space="preserve">SCHMOOKLER E                  </t>
  </si>
  <si>
    <t xml:space="preserve">SCHNURR LORRAINE PHD          </t>
  </si>
  <si>
    <t xml:space="preserve">SCHNURR LORR                  </t>
  </si>
  <si>
    <t xml:space="preserve">SEGAL FRAN PHD                </t>
  </si>
  <si>
    <t xml:space="preserve">SEGAL FRAN                    </t>
  </si>
  <si>
    <t xml:space="preserve">SHEFAYEE LYNETTE PhD          </t>
  </si>
  <si>
    <t xml:space="preserve">SHEFAYEE LYN                  </t>
  </si>
  <si>
    <t xml:space="preserve">SIMNEGAR RAY PhD              </t>
  </si>
  <si>
    <t xml:space="preserve">SIMNEGAR RAY                  </t>
  </si>
  <si>
    <t xml:space="preserve">SOLON PETER PHD               </t>
  </si>
  <si>
    <t xml:space="preserve">SOLON PETER                   </t>
  </si>
  <si>
    <t xml:space="preserve">SPIVEY WILLIAM PHD            </t>
  </si>
  <si>
    <t xml:space="preserve">SPIVEY WILLI                  </t>
  </si>
  <si>
    <t xml:space="preserve">SWANSON STEVEN PHD            </t>
  </si>
  <si>
    <t xml:space="preserve">SWANSON STEV                  </t>
  </si>
  <si>
    <t xml:space="preserve">TANG TERRY PHD                </t>
  </si>
  <si>
    <t xml:space="preserve">TANG TERRY                    </t>
  </si>
  <si>
    <t xml:space="preserve">TERENS LAUREL PHD             </t>
  </si>
  <si>
    <t xml:space="preserve">TERENS LAUR                   </t>
  </si>
  <si>
    <t xml:space="preserve">VALOIS WINSTON PHD            </t>
  </si>
  <si>
    <t xml:space="preserve">VALOIS WINST                  </t>
  </si>
  <si>
    <t xml:space="preserve">VIGILANTI MARY ANN PHD        </t>
  </si>
  <si>
    <t xml:space="preserve">VIGILANTI MA                  </t>
  </si>
  <si>
    <t xml:space="preserve">WASSERMAN CHARLES PhD         </t>
  </si>
  <si>
    <t xml:space="preserve">WASSERMAN CH                  </t>
  </si>
  <si>
    <t xml:space="preserve">WATSON DALE PHD               </t>
  </si>
  <si>
    <t xml:space="preserve">WATSON DALE                   </t>
  </si>
  <si>
    <t xml:space="preserve">WHITE PHILIP PHD              </t>
  </si>
  <si>
    <t xml:space="preserve">WHITE PHILIP                  </t>
  </si>
  <si>
    <t xml:space="preserve">WIENEKE MARY PhD              </t>
  </si>
  <si>
    <t xml:space="preserve">WIENEKE MARY                  </t>
  </si>
  <si>
    <t xml:space="preserve">WILKENFIELD JAYSON PhD        </t>
  </si>
  <si>
    <t xml:space="preserve">WILKENFIELD                   </t>
  </si>
  <si>
    <t xml:space="preserve">WOLFSON JOHANNA PhD           </t>
  </si>
  <si>
    <t xml:space="preserve">WOLFSON JOH                   </t>
  </si>
  <si>
    <t xml:space="preserve">WOLZ BIRGIT PhD               </t>
  </si>
  <si>
    <t xml:space="preserve">WOLZ BIRGIT                   </t>
  </si>
  <si>
    <t xml:space="preserve">WRIGHT MICHAEL PhD            </t>
  </si>
  <si>
    <t xml:space="preserve">WRIGHT MICH                   </t>
  </si>
  <si>
    <t>A BETTER WAY FOSTER FAMILY PRG</t>
  </si>
  <si>
    <t xml:space="preserve">BETTER WAY                    </t>
  </si>
  <si>
    <t xml:space="preserve">ACMC HIGHLAND HOSPITAL AOD/MH </t>
  </si>
  <si>
    <t xml:space="preserve">HIGHLAND                      </t>
  </si>
  <si>
    <t xml:space="preserve">VICTOR WILLOW CREEK MHS CHILD </t>
  </si>
  <si>
    <t>ASIAN PACIFIC PSYCHOLOGICAL SV</t>
  </si>
  <si>
    <t xml:space="preserve">ASIAN PAC                     </t>
  </si>
  <si>
    <t>BAY AREA CLINIC FOR SELF &amp; REL</t>
  </si>
  <si>
    <t xml:space="preserve">BAYAREASELF                   </t>
  </si>
  <si>
    <t xml:space="preserve">BERKELEY THERAPY INSTITUTE    </t>
  </si>
  <si>
    <t xml:space="preserve">BE THERAPY                    </t>
  </si>
  <si>
    <t xml:space="preserve">BHC FREMONT HOSPITAL          </t>
  </si>
  <si>
    <t xml:space="preserve">BHC FRE HOSP                  </t>
  </si>
  <si>
    <t>CALIFORNIA SCHOOL PROF PSYCHOL</t>
  </si>
  <si>
    <t xml:space="preserve">CA SCH PROF                   </t>
  </si>
  <si>
    <t xml:space="preserve">CATHOLIC COUNSELING SERVICE   </t>
  </si>
  <si>
    <t xml:space="preserve">CATHOLIC SVC                  </t>
  </si>
  <si>
    <t xml:space="preserve">FFYC WESTLAKE EPSDT REH CHILD </t>
  </si>
  <si>
    <t xml:space="preserve">FFYC WSTL EP                  </t>
  </si>
  <si>
    <t xml:space="preserve">CAUCUS OF SAN LEANDRO         </t>
  </si>
  <si>
    <t xml:space="preserve">CAUCUS SL                     </t>
  </si>
  <si>
    <t>CHILDRENS HOSPITAL MED CTR NOR</t>
  </si>
  <si>
    <t xml:space="preserve">CHILDRNS HOS                  </t>
  </si>
  <si>
    <t>CITY OF FREMONT YOUTH &amp; FAMILY</t>
  </si>
  <si>
    <t xml:space="preserve">CITY FREMONT                  </t>
  </si>
  <si>
    <t xml:space="preserve">COMMUNITY DRUG COUNCIL        </t>
  </si>
  <si>
    <t xml:space="preserve">COMM DRUG                     </t>
  </si>
  <si>
    <t xml:space="preserve">E BAY COMMUNITY RECOVERY PROJ </t>
  </si>
  <si>
    <t xml:space="preserve">EBAY COMM                     </t>
  </si>
  <si>
    <t>FAMILY SERVICES OF SAN LEANDRO</t>
  </si>
  <si>
    <t xml:space="preserve">FAM SVC SL                    </t>
  </si>
  <si>
    <t xml:space="preserve">FAMILY SERVICES OF TRI-CITIES </t>
  </si>
  <si>
    <t xml:space="preserve">FAM SVC TRIC                  </t>
  </si>
  <si>
    <t xml:space="preserve">GIRLS INCORPORATED ALAMEDA CO </t>
  </si>
  <si>
    <t xml:space="preserve">GIRLS INC                     </t>
  </si>
  <si>
    <t xml:space="preserve">KAIROS UNLIMITED              </t>
  </si>
  <si>
    <t xml:space="preserve">KAIROS UNLIM                  </t>
  </si>
  <si>
    <t xml:space="preserve">NURSES IN ACTION              </t>
  </si>
  <si>
    <t xml:space="preserve">NURSES ACT                    </t>
  </si>
  <si>
    <t xml:space="preserve">PORTIA BELL HUME BEHAV HEALTH </t>
  </si>
  <si>
    <t xml:space="preserve">PORTIA HUME                   </t>
  </si>
  <si>
    <t xml:space="preserve">SCHUMAN-LILES CLINIC          </t>
  </si>
  <si>
    <t xml:space="preserve">SCHU FFS                      </t>
  </si>
  <si>
    <t xml:space="preserve">SECOND CHANCE                 </t>
  </si>
  <si>
    <t xml:space="preserve">SECOND CHANC                  </t>
  </si>
  <si>
    <t xml:space="preserve">ST MARY'S CENTER              </t>
  </si>
  <si>
    <t xml:space="preserve">ST MARYS CTR                  </t>
  </si>
  <si>
    <t xml:space="preserve">AXIS COMMUNITY HEALTH         </t>
  </si>
  <si>
    <t xml:space="preserve">AXIS COMM HE                  </t>
  </si>
  <si>
    <t xml:space="preserve">WEST COAST CHILDRENS CENTER   </t>
  </si>
  <si>
    <t xml:space="preserve">WCOAST CHILD                  </t>
  </si>
  <si>
    <t>SENECA EPSDT AFTERCARE SVCS MH</t>
  </si>
  <si>
    <t xml:space="preserve">SEN EP AFTER                  </t>
  </si>
  <si>
    <t>CITY OF BERKELEY COURT DIV MHS</t>
  </si>
  <si>
    <t xml:space="preserve">BE COURT MH                   </t>
  </si>
  <si>
    <t>CITY OF BERKELEY CHLD MH EPSDT</t>
  </si>
  <si>
    <t xml:space="preserve">BE CH MH EPS                  </t>
  </si>
  <si>
    <t xml:space="preserve">CITY OF BERKELEY SCHOOL MHS   </t>
  </si>
  <si>
    <t xml:space="preserve">BE SCH MHS                    </t>
  </si>
  <si>
    <t>CITY OF BERKELEY CCT ADULT SVC</t>
  </si>
  <si>
    <t xml:space="preserve">BE CCT ADULT                  </t>
  </si>
  <si>
    <t xml:space="preserve">CITY OF BERKELEY CRISIS SVCS  </t>
  </si>
  <si>
    <t xml:space="preserve">BE CRISIS                     </t>
  </si>
  <si>
    <t>CITY OF BERKELEY HOMELESS OUTR</t>
  </si>
  <si>
    <t xml:space="preserve">BE HOMELESS                   </t>
  </si>
  <si>
    <t>CITY OF BERKELEY ACT AD SVC T1</t>
  </si>
  <si>
    <t xml:space="preserve">BE ACT T1                     </t>
  </si>
  <si>
    <t xml:space="preserve">CITY OF BERKELEY MED ONLY     </t>
  </si>
  <si>
    <t xml:space="preserve">BE MED ONLY                   </t>
  </si>
  <si>
    <t xml:space="preserve">SRP - MCCLURE CARE HOME       </t>
  </si>
  <si>
    <t xml:space="preserve">SRP MCCLURE                   </t>
  </si>
  <si>
    <t xml:space="preserve">TELECARE VIDA NUEVA DAY REHAB </t>
  </si>
  <si>
    <t xml:space="preserve">VIDA REHAB                    </t>
  </si>
  <si>
    <t xml:space="preserve">TELECARE VIDA NUEVA ADULT MHS </t>
  </si>
  <si>
    <t xml:space="preserve">VIDA MHS                      </t>
  </si>
  <si>
    <t xml:space="preserve">SYSTEM OF CARE CASE MGMT SVCS </t>
  </si>
  <si>
    <t xml:space="preserve">SYSCARE CM                    </t>
  </si>
  <si>
    <t>EARLY CHILD CONSLT &amp; TRMNT MHS</t>
  </si>
  <si>
    <t xml:space="preserve">EARLY CHILD                   </t>
  </si>
  <si>
    <t>VICTOR WILLOW CREEK DAY REH FL</t>
  </si>
  <si>
    <t>CITY OF BERK CHILD LEVEL 1 REF</t>
  </si>
  <si>
    <t xml:space="preserve">BE REF                        </t>
  </si>
  <si>
    <t>CITY OF BERKELEY SST MHS ADULT</t>
  </si>
  <si>
    <t xml:space="preserve">BE SST ADULT                  </t>
  </si>
  <si>
    <t>CITY OF BERK LEVEL 1 MHS CHILD</t>
  </si>
  <si>
    <t xml:space="preserve">BE LEV1 CH                    </t>
  </si>
  <si>
    <t xml:space="preserve">SRP - ROSEVILLE               </t>
  </si>
  <si>
    <t xml:space="preserve">SRP ROSEVILL                  </t>
  </si>
  <si>
    <t>STARS AFTERCARE PRGM MHS CHILD</t>
  </si>
  <si>
    <t xml:space="preserve">STARS AFT MH                  </t>
  </si>
  <si>
    <t xml:space="preserve">BUNKER GAIL LCSW              </t>
  </si>
  <si>
    <t xml:space="preserve">BUNKER GAIL                   </t>
  </si>
  <si>
    <t xml:space="preserve">BAY PSYCHIATRIC ASSOC GRP     </t>
  </si>
  <si>
    <t xml:space="preserve">BAY PSY GRP                   </t>
  </si>
  <si>
    <t xml:space="preserve">SHAW HARRIET PHD              </t>
  </si>
  <si>
    <t xml:space="preserve">SHAW HARRIET                  </t>
  </si>
  <si>
    <t xml:space="preserve">SHOEMAKER HELEN PhD           </t>
  </si>
  <si>
    <t xml:space="preserve">SHOEMAKER HE                  </t>
  </si>
  <si>
    <t xml:space="preserve">ROBINSON WESLEY LCSW          </t>
  </si>
  <si>
    <t xml:space="preserve">ROBINSON WES                  </t>
  </si>
  <si>
    <t xml:space="preserve">HERRMANN STEVEN MFCC          </t>
  </si>
  <si>
    <t xml:space="preserve">HERRMANN STE                  </t>
  </si>
  <si>
    <t xml:space="preserve">HUYNH NHI MD                  </t>
  </si>
  <si>
    <t>CITY OF BERKELEY AD SVC TEAM 3</t>
  </si>
  <si>
    <t xml:space="preserve">BMH TEAM 3                    </t>
  </si>
  <si>
    <t xml:space="preserve">DIBBELL-HOPE SANDY PHD        </t>
  </si>
  <si>
    <t xml:space="preserve">DIBBELL-HOPE                  </t>
  </si>
  <si>
    <t xml:space="preserve">HOEY HENRY PHD                </t>
  </si>
  <si>
    <t xml:space="preserve">HOEY                          </t>
  </si>
  <si>
    <t xml:space="preserve">STITES MARCY PHD              </t>
  </si>
  <si>
    <t xml:space="preserve">STITES                        </t>
  </si>
  <si>
    <t xml:space="preserve">YABUSAKI ANN PHD              </t>
  </si>
  <si>
    <t xml:space="preserve">YABUSAKI                      </t>
  </si>
  <si>
    <t xml:space="preserve">KELLY LINDA LCSW              </t>
  </si>
  <si>
    <t xml:space="preserve">KELLY LINDA                   </t>
  </si>
  <si>
    <t xml:space="preserve">NICKENS ELIZABETH LCSW        </t>
  </si>
  <si>
    <t xml:space="preserve">NICKENS                       </t>
  </si>
  <si>
    <t xml:space="preserve">ROGERS CAROLYN LCSW           </t>
  </si>
  <si>
    <t xml:space="preserve">ROGERS CAROL                  </t>
  </si>
  <si>
    <t xml:space="preserve">JOHNSON JANELL MFCC           </t>
  </si>
  <si>
    <t xml:space="preserve">JOHNSON JANE                  </t>
  </si>
  <si>
    <t xml:space="preserve">MAH RONALD MFCC               </t>
  </si>
  <si>
    <t xml:space="preserve">MAH                           </t>
  </si>
  <si>
    <t xml:space="preserve">MONSLER BARBARA MFCC          </t>
  </si>
  <si>
    <t xml:space="preserve">MONSLER                       </t>
  </si>
  <si>
    <t xml:space="preserve">PAUL MARY MFCC                </t>
  </si>
  <si>
    <t xml:space="preserve">PAUL MARY                     </t>
  </si>
  <si>
    <t xml:space="preserve">SAMSEL ROBIN MFCC             </t>
  </si>
  <si>
    <t xml:space="preserve">SAMSEL                        </t>
  </si>
  <si>
    <t xml:space="preserve">SMITH CHARLOTTE MFCC          </t>
  </si>
  <si>
    <t xml:space="preserve">SMITH CHARLO                  </t>
  </si>
  <si>
    <t xml:space="preserve">WOLLESON CAROL MFCC           </t>
  </si>
  <si>
    <t xml:space="preserve">WOLLESON                      </t>
  </si>
  <si>
    <t xml:space="preserve">MARGOLIN JEANETTE MD          </t>
  </si>
  <si>
    <t xml:space="preserve">MARGOLIN                      </t>
  </si>
  <si>
    <t>JEWISH FAMILY &amp;CHILDRN'S SVC E</t>
  </si>
  <si>
    <t xml:space="preserve">JEWISH FAM                    </t>
  </si>
  <si>
    <t xml:space="preserve">BEHAVIORAL HEALTH QUEST GRP   </t>
  </si>
  <si>
    <t xml:space="preserve">BEH HEALTH                    </t>
  </si>
  <si>
    <t>COMPREHENSIVE PSYCHIATRIC SERV</t>
  </si>
  <si>
    <t xml:space="preserve">COMP PSYCH                    </t>
  </si>
  <si>
    <t xml:space="preserve">PSYCHOLOGICAL TREATMENT SVCS  </t>
  </si>
  <si>
    <t xml:space="preserve">PSYCH TX SVC                  </t>
  </si>
  <si>
    <t>SRP - EVELYN'S RESIDENTIAL CAR</t>
  </si>
  <si>
    <t xml:space="preserve">SRP EVELYNS                   </t>
  </si>
  <si>
    <t>KAISER PERMANENTE GRP PRACTICE</t>
  </si>
  <si>
    <t xml:space="preserve">KAISER GRP                    </t>
  </si>
  <si>
    <t xml:space="preserve">Voc DR Codes Temp             </t>
  </si>
  <si>
    <t xml:space="preserve">TEMP                          </t>
  </si>
  <si>
    <t xml:space="preserve">VILLA FAIRMONT MHS ADULT      </t>
  </si>
  <si>
    <t xml:space="preserve">VILLA MHS                     </t>
  </si>
  <si>
    <t>STARS ADOL TRANSITION TEAM MHS</t>
  </si>
  <si>
    <t xml:space="preserve">STARS ADOLT                   </t>
  </si>
  <si>
    <t>BACS IRVINGTON CLC DAY REH FUL</t>
  </si>
  <si>
    <t xml:space="preserve">STARS ADOL T                  </t>
  </si>
  <si>
    <t>CITY OF BERK TELEGRAPH MOB CRS</t>
  </si>
  <si>
    <t xml:space="preserve">BE TELEG MOB                  </t>
  </si>
  <si>
    <t xml:space="preserve">ACHAMALLAH NAGUI MD           </t>
  </si>
  <si>
    <t xml:space="preserve">ACHAMALLAH                    </t>
  </si>
  <si>
    <t xml:space="preserve">ANDERSON BRUCE MD             </t>
  </si>
  <si>
    <t xml:space="preserve">ANDERSON                      </t>
  </si>
  <si>
    <t xml:space="preserve">AULUCK HARINDER MD            </t>
  </si>
  <si>
    <t xml:space="preserve">AULUCK                        </t>
  </si>
  <si>
    <t xml:space="preserve">BOSS OAKLAND SERVICE TEAM 1   </t>
  </si>
  <si>
    <t xml:space="preserve">BOSS OAK T1                   </t>
  </si>
  <si>
    <t xml:space="preserve">BLUE KELLY MD                 </t>
  </si>
  <si>
    <t xml:space="preserve">BLUE                          </t>
  </si>
  <si>
    <t xml:space="preserve">CARRELL TODD MD               </t>
  </si>
  <si>
    <t xml:space="preserve">CARRELL                       </t>
  </si>
  <si>
    <t xml:space="preserve">COHEN                         </t>
  </si>
  <si>
    <t xml:space="preserve">COPELAND PAUL MD              </t>
  </si>
  <si>
    <t xml:space="preserve">COOPELAN                      </t>
  </si>
  <si>
    <t xml:space="preserve">DONOVAN WOODROW MD            </t>
  </si>
  <si>
    <t xml:space="preserve">DONOVAN                       </t>
  </si>
  <si>
    <t xml:space="preserve">DREYER JOEL MD                </t>
  </si>
  <si>
    <t xml:space="preserve">DREYER                        </t>
  </si>
  <si>
    <t xml:space="preserve">DUNCAN MALCOLM MD             </t>
  </si>
  <si>
    <t xml:space="preserve">DUNCAN                        </t>
  </si>
  <si>
    <t xml:space="preserve">DUONG HAO MD                  </t>
  </si>
  <si>
    <t xml:space="preserve">DUONG                         </t>
  </si>
  <si>
    <t xml:space="preserve">ELITE ANTHONY MD              </t>
  </si>
  <si>
    <t xml:space="preserve">ELITE                         </t>
  </si>
  <si>
    <t xml:space="preserve">ESPIRITU CELSO MD             </t>
  </si>
  <si>
    <t xml:space="preserve">ESPIRITU                      </t>
  </si>
  <si>
    <t xml:space="preserve">FISHERWIL                     </t>
  </si>
  <si>
    <t xml:space="preserve">FLECKLES CHARLES MD           </t>
  </si>
  <si>
    <t xml:space="preserve">FLECKLES                      </t>
  </si>
  <si>
    <t xml:space="preserve">FRANDEL LINDA MD              </t>
  </si>
  <si>
    <t xml:space="preserve">FRANDEL                       </t>
  </si>
  <si>
    <t xml:space="preserve">FREEMAN PAUL MD               </t>
  </si>
  <si>
    <t xml:space="preserve">FREEMANPAUL                   </t>
  </si>
  <si>
    <t xml:space="preserve">FUNDERBURK-BURNS DIANA MD     </t>
  </si>
  <si>
    <t xml:space="preserve">FUNDERBURK                    </t>
  </si>
  <si>
    <t xml:space="preserve">GOLDBERGER SILIM MD           </t>
  </si>
  <si>
    <t xml:space="preserve">GOLDBERGER                    </t>
  </si>
  <si>
    <t xml:space="preserve">GORODETSKY GALINA MD          </t>
  </si>
  <si>
    <t xml:space="preserve">GORODETSKY                    </t>
  </si>
  <si>
    <t xml:space="preserve">HETRICK LARRY MD              </t>
  </si>
  <si>
    <t xml:space="preserve">HETRICK                       </t>
  </si>
  <si>
    <t xml:space="preserve">HUNTER SARAH MD               </t>
  </si>
  <si>
    <t xml:space="preserve">HUNTERSARAH                   </t>
  </si>
  <si>
    <t xml:space="preserve">JACKSON THOMAS MD             </t>
  </si>
  <si>
    <t xml:space="preserve">JACKSON THOM                  </t>
  </si>
  <si>
    <t xml:space="preserve">JANZEN CALVIN MD              </t>
  </si>
  <si>
    <t xml:space="preserve">JANZEN                        </t>
  </si>
  <si>
    <t xml:space="preserve">KATZENBERG DANIEL MD          </t>
  </si>
  <si>
    <t xml:space="preserve">KATZENBERG                    </t>
  </si>
  <si>
    <t xml:space="preserve">KOKA KIRAN MD                 </t>
  </si>
  <si>
    <t xml:space="preserve">KOKA                          </t>
  </si>
  <si>
    <t xml:space="preserve">KUPERS TERRY MD               </t>
  </si>
  <si>
    <t xml:space="preserve">KUPERS                        </t>
  </si>
  <si>
    <t xml:space="preserve">LOOSE MICHAEL MD              </t>
  </si>
  <si>
    <t xml:space="preserve">LOOSE                         </t>
  </si>
  <si>
    <t xml:space="preserve">MACKAY SHANE MD               </t>
  </si>
  <si>
    <t xml:space="preserve">MACAY                         </t>
  </si>
  <si>
    <t xml:space="preserve">MARKEL BENNETT MD             </t>
  </si>
  <si>
    <t xml:space="preserve">MARKE                         </t>
  </si>
  <si>
    <t xml:space="preserve">MIKURIYA TOD MD               </t>
  </si>
  <si>
    <t xml:space="preserve">MIKURIYA                      </t>
  </si>
  <si>
    <t xml:space="preserve">MULTANI                       </t>
  </si>
  <si>
    <t xml:space="preserve">NELSON ADAM MD                </t>
  </si>
  <si>
    <t xml:space="preserve">NELSONADAM                    </t>
  </si>
  <si>
    <t xml:space="preserve">ORGEL JEREMY MD               </t>
  </si>
  <si>
    <t xml:space="preserve">ORGEL                         </t>
  </si>
  <si>
    <t xml:space="preserve">POWERS THOMAS MD              </t>
  </si>
  <si>
    <t xml:space="preserve">POWERSTHOMAS                  </t>
  </si>
  <si>
    <t xml:space="preserve">PRESBERG BURTON MD            </t>
  </si>
  <si>
    <t xml:space="preserve">PRESBERG                      </t>
  </si>
  <si>
    <t xml:space="preserve">SCHLIES                       </t>
  </si>
  <si>
    <t xml:space="preserve">SHEFAYEE                      </t>
  </si>
  <si>
    <t xml:space="preserve">SHOLDERS JOSEPH MD            </t>
  </si>
  <si>
    <t xml:space="preserve">SHOLDERS                      </t>
  </si>
  <si>
    <t xml:space="preserve">SMOLOWE JOHN MD               </t>
  </si>
  <si>
    <t xml:space="preserve">SMOLOWE                       </t>
  </si>
  <si>
    <t xml:space="preserve">STODDARD FRED MD              </t>
  </si>
  <si>
    <t xml:space="preserve">STODDARD                      </t>
  </si>
  <si>
    <t xml:space="preserve">STURGES STEPHEN MD            </t>
  </si>
  <si>
    <t xml:space="preserve">STURGES                       </t>
  </si>
  <si>
    <t xml:space="preserve">UNGER KATHLEEN MD             </t>
  </si>
  <si>
    <t xml:space="preserve">UNGER                         </t>
  </si>
  <si>
    <t xml:space="preserve">WHALEN JON MD                 </t>
  </si>
  <si>
    <t xml:space="preserve">WHALEN                        </t>
  </si>
  <si>
    <t xml:space="preserve">AFARY MON PHD                 </t>
  </si>
  <si>
    <t xml:space="preserve">AFARY                         </t>
  </si>
  <si>
    <t xml:space="preserve">BARBAROSH GEORGE PHD          </t>
  </si>
  <si>
    <t xml:space="preserve">BARBAROSH                     </t>
  </si>
  <si>
    <t xml:space="preserve">BOONE JARRETT PHD             </t>
  </si>
  <si>
    <t xml:space="preserve">BOONEJARR                     </t>
  </si>
  <si>
    <t xml:space="preserve">BOTWIN ANNE PHD               </t>
  </si>
  <si>
    <t xml:space="preserve">BOTWIN                        </t>
  </si>
  <si>
    <t xml:space="preserve">BRADLEE PETER PHD             </t>
  </si>
  <si>
    <t xml:space="preserve">BRADLEE                       </t>
  </si>
  <si>
    <t xml:space="preserve">BUERGER JANE PHD              </t>
  </si>
  <si>
    <t xml:space="preserve">BUERGER                       </t>
  </si>
  <si>
    <t xml:space="preserve">BYRNS SHEILA PHD              </t>
  </si>
  <si>
    <t xml:space="preserve">BYRNS                         </t>
  </si>
  <si>
    <t xml:space="preserve">CASTELLO-KRAMER GABRIELA  PHD </t>
  </si>
  <si>
    <t xml:space="preserve">CASTELLO                      </t>
  </si>
  <si>
    <t>SENECA SIMMONS SCH SAFEP MH CH</t>
  </si>
  <si>
    <t xml:space="preserve">SENECA SIMMO                  </t>
  </si>
  <si>
    <t xml:space="preserve">CONRAD NATALIE PHD            </t>
  </si>
  <si>
    <t xml:space="preserve">CONRAD                        </t>
  </si>
  <si>
    <t xml:space="preserve">CRISTANCHO FERNANDO PHD       </t>
  </si>
  <si>
    <t xml:space="preserve">CRISTANCHO                    </t>
  </si>
  <si>
    <t xml:space="preserve">DAVENPORT GERALD PHD          </t>
  </si>
  <si>
    <t xml:space="preserve">DAVENPORT                     </t>
  </si>
  <si>
    <t xml:space="preserve">DE COTEAU MIRIAM PHD          </t>
  </si>
  <si>
    <t xml:space="preserve">DE COTEAU                     </t>
  </si>
  <si>
    <t xml:space="preserve">DIGER MICHAEL PHD             </t>
  </si>
  <si>
    <t xml:space="preserve">DIGER                         </t>
  </si>
  <si>
    <t xml:space="preserve">DONK LEONARD PHD              </t>
  </si>
  <si>
    <t xml:space="preserve">DONK                          </t>
  </si>
  <si>
    <t xml:space="preserve">DRAPER-PRAETZ ROBYN PHD       </t>
  </si>
  <si>
    <t xml:space="preserve">DRAPER                        </t>
  </si>
  <si>
    <t xml:space="preserve">DUBBERKE LOUISE PHD           </t>
  </si>
  <si>
    <t xml:space="preserve">DUBBERKE                      </t>
  </si>
  <si>
    <t xml:space="preserve">SENECA LOWELL SCH SAFEP MH CH </t>
  </si>
  <si>
    <t xml:space="preserve">SENECA LOWEL                  </t>
  </si>
  <si>
    <t xml:space="preserve">FEDER SUSANNAH PHD            </t>
  </si>
  <si>
    <t xml:space="preserve">FEDER                         </t>
  </si>
  <si>
    <t xml:space="preserve">FOWLE CAROLYN PHD             </t>
  </si>
  <si>
    <t xml:space="preserve">FOWLE                         </t>
  </si>
  <si>
    <t xml:space="preserve">FROMM MARK PHD                </t>
  </si>
  <si>
    <t xml:space="preserve">FROMM                         </t>
  </si>
  <si>
    <t xml:space="preserve">GANNON JOSEPH PHD             </t>
  </si>
  <si>
    <t xml:space="preserve">GANNON                        </t>
  </si>
  <si>
    <t xml:space="preserve">GINNE MELINDA PHD             </t>
  </si>
  <si>
    <t xml:space="preserve">GINNE                         </t>
  </si>
  <si>
    <t xml:space="preserve">GLICKMAN HAGIT PHD            </t>
  </si>
  <si>
    <t xml:space="preserve">GLICKMAN                      </t>
  </si>
  <si>
    <t xml:space="preserve">GOODLOW NATHANIEL PHD         </t>
  </si>
  <si>
    <t xml:space="preserve">GOODLOW                       </t>
  </si>
  <si>
    <t xml:space="preserve">GOODMAN JAY PHD               </t>
  </si>
  <si>
    <t xml:space="preserve">GOODMANJAY                    </t>
  </si>
  <si>
    <t xml:space="preserve">GRESSEL JOSH PHD              </t>
  </si>
  <si>
    <t xml:space="preserve">GRESSEL                       </t>
  </si>
  <si>
    <t xml:space="preserve">GUBKIN RUT PHD                </t>
  </si>
  <si>
    <t xml:space="preserve">GUBKIN                        </t>
  </si>
  <si>
    <t xml:space="preserve">HAND SALLY PHD                </t>
  </si>
  <si>
    <t xml:space="preserve">HAND                          </t>
  </si>
  <si>
    <t xml:space="preserve">HARRIS-WILSON DIANE J PHD     </t>
  </si>
  <si>
    <t xml:space="preserve">HARRIS-WILSO                  </t>
  </si>
  <si>
    <t xml:space="preserve">HATCH KATHERINE PHD           </t>
  </si>
  <si>
    <t xml:space="preserve">HATCH                         </t>
  </si>
  <si>
    <t xml:space="preserve">HELLER MARY PHD               </t>
  </si>
  <si>
    <t xml:space="preserve">HELLER                        </t>
  </si>
  <si>
    <t xml:space="preserve">HOYT LESLIE PHD               </t>
  </si>
  <si>
    <t xml:space="preserve">HOET                          </t>
  </si>
  <si>
    <t xml:space="preserve">ISAKSEN JUDITH PHD            </t>
  </si>
  <si>
    <t xml:space="preserve">ISAKSEN                       </t>
  </si>
  <si>
    <t xml:space="preserve">JEREMEY ANDREA PHD            </t>
  </si>
  <si>
    <t xml:space="preserve">JEREMEY                       </t>
  </si>
  <si>
    <t xml:space="preserve">JEW WING PHD                  </t>
  </si>
  <si>
    <t xml:space="preserve">JEWWING                       </t>
  </si>
  <si>
    <t xml:space="preserve">HOGE SUSAN                    </t>
  </si>
  <si>
    <t xml:space="preserve">KAMEN HUGH PHD                </t>
  </si>
  <si>
    <t xml:space="preserve">KAMEN HUGH                    </t>
  </si>
  <si>
    <t xml:space="preserve">KAPLAN DIANE PHD              </t>
  </si>
  <si>
    <t xml:space="preserve">KAPLANDIANE                   </t>
  </si>
  <si>
    <t xml:space="preserve">KAYRA-STUART FORTUNEE PHD     </t>
  </si>
  <si>
    <t xml:space="preserve">KAYRA                         </t>
  </si>
  <si>
    <t xml:space="preserve">KELLER SUSAN PHD              </t>
  </si>
  <si>
    <t xml:space="preserve">KELLERSUSAN                   </t>
  </si>
  <si>
    <t xml:space="preserve">KNIPE-LAIRD HEIDI PHD         </t>
  </si>
  <si>
    <t xml:space="preserve">KNIPE                         </t>
  </si>
  <si>
    <t xml:space="preserve">LEROUX JEFFREY PHD            </t>
  </si>
  <si>
    <t xml:space="preserve">LEROUX                        </t>
  </si>
  <si>
    <t xml:space="preserve">LEVY ALBERT PHD               </t>
  </si>
  <si>
    <t xml:space="preserve">LEVY                          </t>
  </si>
  <si>
    <t xml:space="preserve">LUDMER CAREN PHD              </t>
  </si>
  <si>
    <t xml:space="preserve">LUDMER                        </t>
  </si>
  <si>
    <t xml:space="preserve">LUKAS BRIAN PHD               </t>
  </si>
  <si>
    <t xml:space="preserve">LUKAS                         </t>
  </si>
  <si>
    <t xml:space="preserve">MARMER MELINDA PHD            </t>
  </si>
  <si>
    <t xml:space="preserve">MARMER                        </t>
  </si>
  <si>
    <t xml:space="preserve">MAYERS BARBARA PHD            </t>
  </si>
  <si>
    <t xml:space="preserve">MAYERSBARB                    </t>
  </si>
  <si>
    <t xml:space="preserve">MIDDLETON JOANNE PHD          </t>
  </si>
  <si>
    <t xml:space="preserve">MIDDLETON                     </t>
  </si>
  <si>
    <t xml:space="preserve">MILNES ELIZABETH PHD          </t>
  </si>
  <si>
    <t xml:space="preserve">MILNES                        </t>
  </si>
  <si>
    <t xml:space="preserve">MOAZAM CYRUS PHD              </t>
  </si>
  <si>
    <t xml:space="preserve">MOAZ                          </t>
  </si>
  <si>
    <t xml:space="preserve">ORENSTEIN GRACE PHD           </t>
  </si>
  <si>
    <t xml:space="preserve">ORENSTEIN                     </t>
  </si>
  <si>
    <t xml:space="preserve">OTTEN MARK PHD                </t>
  </si>
  <si>
    <t xml:space="preserve">OTTENMARK                     </t>
  </si>
  <si>
    <t xml:space="preserve">PASQUET IRIS PHD              </t>
  </si>
  <si>
    <t xml:space="preserve">PASQUET                       </t>
  </si>
  <si>
    <t xml:space="preserve">PINGITORE DAVID PHD           </t>
  </si>
  <si>
    <t xml:space="preserve">PINGITORE                     </t>
  </si>
  <si>
    <t xml:space="preserve">POE LENORA PHD                </t>
  </si>
  <si>
    <t xml:space="preserve">POELENORA                     </t>
  </si>
  <si>
    <t xml:space="preserve">POHLER HENRY PHD              </t>
  </si>
  <si>
    <t xml:space="preserve">POHLER                        </t>
  </si>
  <si>
    <t xml:space="preserve">RABY IRENE PHD                </t>
  </si>
  <si>
    <t xml:space="preserve">RABY                          </t>
  </si>
  <si>
    <t xml:space="preserve">RATTO ROSEMARIE PHD           </t>
  </si>
  <si>
    <t xml:space="preserve">RATTO                         </t>
  </si>
  <si>
    <t xml:space="preserve">SELANDER  MORRIS MFCC         </t>
  </si>
  <si>
    <t xml:space="preserve">SELANDER                      </t>
  </si>
  <si>
    <t xml:space="preserve">ROSENBERG BENJAMIN PHD        </t>
  </si>
  <si>
    <t xml:space="preserve">ROSENBERG                     </t>
  </si>
  <si>
    <t xml:space="preserve">ROUSE JOHN PHD                </t>
  </si>
  <si>
    <t xml:space="preserve">ROUSE                         </t>
  </si>
  <si>
    <t xml:space="preserve">SANTAS DIANE PHD              </t>
  </si>
  <si>
    <t xml:space="preserve">SANTAS                        </t>
  </si>
  <si>
    <t xml:space="preserve">TABACHNIK SAMUEL PHD          </t>
  </si>
  <si>
    <t xml:space="preserve">TABACHNIK                     </t>
  </si>
  <si>
    <t xml:space="preserve">TAJIKI MARYAM PHD             </t>
  </si>
  <si>
    <t xml:space="preserve">TAJIKI                        </t>
  </si>
  <si>
    <t xml:space="preserve">TORLY MELVIN PHD              </t>
  </si>
  <si>
    <t xml:space="preserve">TORLY                         </t>
  </si>
  <si>
    <t xml:space="preserve">TROTTER ALMA PHD              </t>
  </si>
  <si>
    <t xml:space="preserve">TROTTER                       </t>
  </si>
  <si>
    <t xml:space="preserve">WEBSTER LINDA PHD             </t>
  </si>
  <si>
    <t xml:space="preserve">WEBSTERLINDA                  </t>
  </si>
  <si>
    <t xml:space="preserve">WEYLAND LARA PHD              </t>
  </si>
  <si>
    <t xml:space="preserve">WEYLAND                       </t>
  </si>
  <si>
    <t xml:space="preserve">WICKNER FRAN PHD              </t>
  </si>
  <si>
    <t xml:space="preserve">WICKNER                       </t>
  </si>
  <si>
    <t xml:space="preserve">WOLTERS PATRICE PHD           </t>
  </si>
  <si>
    <t xml:space="preserve">WOLTERS                       </t>
  </si>
  <si>
    <t xml:space="preserve">YABROFF LAWRENCE PHD          </t>
  </si>
  <si>
    <t xml:space="preserve">YABROFF                       </t>
  </si>
  <si>
    <t xml:space="preserve">YOUNG DIANA PHD               </t>
  </si>
  <si>
    <t xml:space="preserve">YOUNGDIANA                    </t>
  </si>
  <si>
    <t xml:space="preserve">BARTENSTEIN DEBRA LCSW        </t>
  </si>
  <si>
    <t xml:space="preserve">BARTENSTEIN                   </t>
  </si>
  <si>
    <t xml:space="preserve">BEAVERS KATHLEEN LCSW         </t>
  </si>
  <si>
    <t xml:space="preserve">BEAVERS                       </t>
  </si>
  <si>
    <t xml:space="preserve">BENDER SHARON LCSW            </t>
  </si>
  <si>
    <t xml:space="preserve">BENDER                        </t>
  </si>
  <si>
    <t xml:space="preserve">BERHANU ENGEDAW LCSW          </t>
  </si>
  <si>
    <t xml:space="preserve">BERHANU                       </t>
  </si>
  <si>
    <t xml:space="preserve">BLACHMAN MARSHA LCSW          </t>
  </si>
  <si>
    <t xml:space="preserve">BLACHMAN                      </t>
  </si>
  <si>
    <t xml:space="preserve">CHRISTIAN THANA LCSW          </t>
  </si>
  <si>
    <t xml:space="preserve">CHRISTIANTH                   </t>
  </si>
  <si>
    <t xml:space="preserve">DAYAN FRAN LCSW               </t>
  </si>
  <si>
    <t xml:space="preserve">DAYAN                         </t>
  </si>
  <si>
    <t xml:space="preserve">DE SOUSA GINA LCSW            </t>
  </si>
  <si>
    <t xml:space="preserve">DESOUSA                       </t>
  </si>
  <si>
    <t xml:space="preserve">DEAN MARY LCSW                </t>
  </si>
  <si>
    <t xml:space="preserve">DEANMARY                      </t>
  </si>
  <si>
    <t xml:space="preserve">FISHER BARBARA LCSW           </t>
  </si>
  <si>
    <t xml:space="preserve">FISHERBARBAR                  </t>
  </si>
  <si>
    <t xml:space="preserve">FORTE DENISE LCSW             </t>
  </si>
  <si>
    <t xml:space="preserve">FORTE                         </t>
  </si>
  <si>
    <t xml:space="preserve">FRIESEN JANICE LCSW           </t>
  </si>
  <si>
    <t xml:space="preserve">FRIESEN                       </t>
  </si>
  <si>
    <t xml:space="preserve">GREENE JULIA LCSW             </t>
  </si>
  <si>
    <t xml:space="preserve">GREENEJULIA                   </t>
  </si>
  <si>
    <t xml:space="preserve">GUTFELD KEVIN LCSW            </t>
  </si>
  <si>
    <t xml:space="preserve">GUTFELD                       </t>
  </si>
  <si>
    <t xml:space="preserve">HALL DAISY LCSW               </t>
  </si>
  <si>
    <t xml:space="preserve">HALLDAISY                     </t>
  </si>
  <si>
    <t xml:space="preserve">HOLLOWAY MARJORIE LCSW        </t>
  </si>
  <si>
    <t xml:space="preserve">HOLLOWAY                      </t>
  </si>
  <si>
    <t xml:space="preserve">HURT PATRICIA LCSW            </t>
  </si>
  <si>
    <t xml:space="preserve">HURT                          </t>
  </si>
  <si>
    <t xml:space="preserve">KALISH MILTON LCSW            </t>
  </si>
  <si>
    <t xml:space="preserve">KALISH                        </t>
  </si>
  <si>
    <t xml:space="preserve">KEECH DIANE LCSW              </t>
  </si>
  <si>
    <t xml:space="preserve">KEECH                         </t>
  </si>
  <si>
    <t xml:space="preserve">KIM COLUMBA LCSW              </t>
  </si>
  <si>
    <t xml:space="preserve">KIM                           </t>
  </si>
  <si>
    <t xml:space="preserve">LOVE RHONDA LCSW              </t>
  </si>
  <si>
    <t xml:space="preserve">LOVE                          </t>
  </si>
  <si>
    <t xml:space="preserve">MCINTOSH WANDA LCSW           </t>
  </si>
  <si>
    <t xml:space="preserve">MCINTOSH                      </t>
  </si>
  <si>
    <t xml:space="preserve">MCKAY NANCY LCSW              </t>
  </si>
  <si>
    <t xml:space="preserve">MCKAY                         </t>
  </si>
  <si>
    <t xml:space="preserve">NESS BONNIE LCSW              </t>
  </si>
  <si>
    <t xml:space="preserve">NESS                          </t>
  </si>
  <si>
    <t xml:space="preserve">PANNOR JONATHAN LCSW          </t>
  </si>
  <si>
    <t xml:space="preserve">PANNOR                        </t>
  </si>
  <si>
    <t xml:space="preserve">POWELL ROBERTA CELEST LCSW    </t>
  </si>
  <si>
    <t xml:space="preserve">POWELLROB                     </t>
  </si>
  <si>
    <t xml:space="preserve">RASHADA MARYANN LCSW          </t>
  </si>
  <si>
    <t xml:space="preserve">RASHADA                       </t>
  </si>
  <si>
    <t xml:space="preserve">RICHARDSON DEBRA LCSW         </t>
  </si>
  <si>
    <t xml:space="preserve">RICHARDSOND                   </t>
  </si>
  <si>
    <t xml:space="preserve">SANCHEZ DOLORES LCSW          </t>
  </si>
  <si>
    <t xml:space="preserve">SANCHEZD                      </t>
  </si>
  <si>
    <t xml:space="preserve">SCOTT LOGAN LCSW              </t>
  </si>
  <si>
    <t xml:space="preserve">SCOTTLOGAN                    </t>
  </si>
  <si>
    <t xml:space="preserve">SCOTT MICHAEL LCSW            </t>
  </si>
  <si>
    <t xml:space="preserve">SCOTTMICH                     </t>
  </si>
  <si>
    <t xml:space="preserve">SHERBER STEVEN LCSW           </t>
  </si>
  <si>
    <t xml:space="preserve">SHERBER                       </t>
  </si>
  <si>
    <t xml:space="preserve">SILVAGNI LORETTA LCSW         </t>
  </si>
  <si>
    <t xml:space="preserve">SILVAGNI                      </t>
  </si>
  <si>
    <t xml:space="preserve">STARKEY LAWRENCE LCSW         </t>
  </si>
  <si>
    <t xml:space="preserve">STARKEY                       </t>
  </si>
  <si>
    <t xml:space="preserve">STEINMAN SANDY LCSW           </t>
  </si>
  <si>
    <t xml:space="preserve">STEINMAN                      </t>
  </si>
  <si>
    <t xml:space="preserve">STERN ROBERTA LCSW            </t>
  </si>
  <si>
    <t xml:space="preserve">STERNR                        </t>
  </si>
  <si>
    <t xml:space="preserve">THOMPSON JOHN LCSW            </t>
  </si>
  <si>
    <t xml:space="preserve">THOMPSONJ                     </t>
  </si>
  <si>
    <t xml:space="preserve">WASHINGTON ALICE LCSW         </t>
  </si>
  <si>
    <t xml:space="preserve">WASHINGTONA                   </t>
  </si>
  <si>
    <t xml:space="preserve">WEBB LINDA LCSW               </t>
  </si>
  <si>
    <t xml:space="preserve">WEBBL                         </t>
  </si>
  <si>
    <t xml:space="preserve">WIDERSTROM ANNE LCSW          </t>
  </si>
  <si>
    <t xml:space="preserve">WIDERSTROM                    </t>
  </si>
  <si>
    <t xml:space="preserve">WIKKELING DAKARI LCSW         </t>
  </si>
  <si>
    <t xml:space="preserve">WIKKELING                     </t>
  </si>
  <si>
    <t xml:space="preserve">ALEXANDER JOAN MFCC           </t>
  </si>
  <si>
    <t xml:space="preserve">ALEXANDERJO                   </t>
  </si>
  <si>
    <t xml:space="preserve">ANCINAS-GEE CARMEN MFCC       </t>
  </si>
  <si>
    <t xml:space="preserve">ANCINAS                       </t>
  </si>
  <si>
    <t xml:space="preserve">ANOLICK KATHY MFCC            </t>
  </si>
  <si>
    <t xml:space="preserve">ANOLICK                       </t>
  </si>
  <si>
    <t xml:space="preserve">ARCHILLA ELLEN MFCC           </t>
  </si>
  <si>
    <t xml:space="preserve">ARCHILLA                      </t>
  </si>
  <si>
    <t xml:space="preserve">ARCHULETA ROY MFCC            </t>
  </si>
  <si>
    <t xml:space="preserve">ARCHULETA                     </t>
  </si>
  <si>
    <t xml:space="preserve">ABODE SVCS WCONNECT ADLT PROG </t>
  </si>
  <si>
    <t xml:space="preserve">ABODE WC PRG                  </t>
  </si>
  <si>
    <t xml:space="preserve">ARNOLD EUGENIE MFCC           </t>
  </si>
  <si>
    <t xml:space="preserve">ARNOLDEUG                     </t>
  </si>
  <si>
    <t xml:space="preserve">ARSLAN NORMAN MFCC            </t>
  </si>
  <si>
    <t xml:space="preserve">ARSLAN                        </t>
  </si>
  <si>
    <t xml:space="preserve">AUTREY-MADDEN MONICA MFCC     </t>
  </si>
  <si>
    <t xml:space="preserve">AUTREYMADDEN                  </t>
  </si>
  <si>
    <t xml:space="preserve">BARTNER ROBERT MFCC           </t>
  </si>
  <si>
    <t xml:space="preserve">BARTNER                       </t>
  </si>
  <si>
    <t xml:space="preserve">BERLIN ANN MARIE MFCC         </t>
  </si>
  <si>
    <t xml:space="preserve">BERLINANN                     </t>
  </si>
  <si>
    <t xml:space="preserve">BERMAN HANK MFCC              </t>
  </si>
  <si>
    <t xml:space="preserve">BERMANH                       </t>
  </si>
  <si>
    <t xml:space="preserve">BRUM LILLIE MFCC              </t>
  </si>
  <si>
    <t xml:space="preserve">BRUMLILLIE                    </t>
  </si>
  <si>
    <t xml:space="preserve">BUCHANAN EDWARD MFCC          </t>
  </si>
  <si>
    <t xml:space="preserve">BUCHANANE                     </t>
  </si>
  <si>
    <t xml:space="preserve">CAHILL SARAH MFCC             </t>
  </si>
  <si>
    <t xml:space="preserve">CAHILLSARAH                   </t>
  </si>
  <si>
    <t xml:space="preserve">CANDELL ARIANA MFCC           </t>
  </si>
  <si>
    <t xml:space="preserve">CANDELLA                      </t>
  </si>
  <si>
    <t xml:space="preserve">CAVE KATHLEEN MFCC            </t>
  </si>
  <si>
    <t xml:space="preserve">CAVEKATH                      </t>
  </si>
  <si>
    <t xml:space="preserve">COHEN LYNN MFCC               </t>
  </si>
  <si>
    <t xml:space="preserve">COHENLYNN                     </t>
  </si>
  <si>
    <t xml:space="preserve">CONTAXIS PATRICIA MFCC        </t>
  </si>
  <si>
    <t xml:space="preserve">CONTAXIS                      </t>
  </si>
  <si>
    <t xml:space="preserve">CREAN EILEEN MFCC             </t>
  </si>
  <si>
    <t xml:space="preserve">CREAN                         </t>
  </si>
  <si>
    <t xml:space="preserve">DEAN INGE MFCC                </t>
  </si>
  <si>
    <t xml:space="preserve">DEANINGE                      </t>
  </si>
  <si>
    <t xml:space="preserve">DEIKMAN CATHY MFCC            </t>
  </si>
  <si>
    <t xml:space="preserve">DEIKMANC                      </t>
  </si>
  <si>
    <t xml:space="preserve">DOMBROWER JAN MFCC            </t>
  </si>
  <si>
    <t xml:space="preserve">DOMBROWER                     </t>
  </si>
  <si>
    <t xml:space="preserve">DOUGHERTY LEANNE MFCC         </t>
  </si>
  <si>
    <t xml:space="preserve">DOUGHERTYL                    </t>
  </si>
  <si>
    <t xml:space="preserve">DYTCH ALBERT MFCC             </t>
  </si>
  <si>
    <t xml:space="preserve">DYTCH                         </t>
  </si>
  <si>
    <t xml:space="preserve">FERRARI CYNTHIA MFCC          </t>
  </si>
  <si>
    <t xml:space="preserve">FERRARI                       </t>
  </si>
  <si>
    <t xml:space="preserve">FLYTE MARILYN MFCC            </t>
  </si>
  <si>
    <t xml:space="preserve">FLYTEM                        </t>
  </si>
  <si>
    <t xml:space="preserve">FORREST ANN MFCC              </t>
  </si>
  <si>
    <t xml:space="preserve">FORRESTANN                    </t>
  </si>
  <si>
    <t xml:space="preserve">FRANCIOSA PAMELA MFCC         </t>
  </si>
  <si>
    <t xml:space="preserve">FRANCIOSAP                    </t>
  </si>
  <si>
    <t xml:space="preserve">FRIES LINDA MFCC              </t>
  </si>
  <si>
    <t xml:space="preserve">FRIESLINDA                    </t>
  </si>
  <si>
    <t xml:space="preserve">GEORGE FRANCES MFCC           </t>
  </si>
  <si>
    <t xml:space="preserve">GEORGEFRAN                    </t>
  </si>
  <si>
    <t xml:space="preserve">GOKUL RAM MFCC                </t>
  </si>
  <si>
    <t xml:space="preserve">GOKULRAM                      </t>
  </si>
  <si>
    <t xml:space="preserve">GONZALEZ NANCY MFCC           </t>
  </si>
  <si>
    <t xml:space="preserve">GONZALEZNAN                   </t>
  </si>
  <si>
    <t xml:space="preserve">GOODE FRANCES MFCC            </t>
  </si>
  <si>
    <t xml:space="preserve">GOODEFRAN                     </t>
  </si>
  <si>
    <t xml:space="preserve">GREGORY SHARON MFCC           </t>
  </si>
  <si>
    <t xml:space="preserve">GREGORYS                      </t>
  </si>
  <si>
    <t xml:space="preserve">GRILL ALLAN MFCC              </t>
  </si>
  <si>
    <t xml:space="preserve">GRILLALLAN                    </t>
  </si>
  <si>
    <t xml:space="preserve">GUILLORY DONNA MFCC           </t>
  </si>
  <si>
    <t xml:space="preserve">GUILLORYD                     </t>
  </si>
  <si>
    <t xml:space="preserve">HECKART KENNETH MFCC          </t>
  </si>
  <si>
    <t xml:space="preserve">HECKARTK                      </t>
  </si>
  <si>
    <t xml:space="preserve">HEFFERMAN PAMELA MFCC         </t>
  </si>
  <si>
    <t xml:space="preserve">HEFFERMAN                     </t>
  </si>
  <si>
    <t xml:space="preserve">HENDON TOBY MFCC              </t>
  </si>
  <si>
    <t xml:space="preserve">HENDONT                       </t>
  </si>
  <si>
    <t xml:space="preserve">HOLLINGER JACKSON KAREN MFCC  </t>
  </si>
  <si>
    <t xml:space="preserve">HOLLINGERJK                   </t>
  </si>
  <si>
    <t xml:space="preserve">JOHNSON JODI MFCC             </t>
  </si>
  <si>
    <t xml:space="preserve">JOHNSONJODI                   </t>
  </si>
  <si>
    <t xml:space="preserve">JOHNSON NINA MFCC             </t>
  </si>
  <si>
    <t xml:space="preserve">JOHNSONNINA                   </t>
  </si>
  <si>
    <t xml:space="preserve">JORDAN ALISON MFCC            </t>
  </si>
  <si>
    <t xml:space="preserve">JORDANA                       </t>
  </si>
  <si>
    <t xml:space="preserve">KATZ GREG MFCC                </t>
  </si>
  <si>
    <t xml:space="preserve">KATZG                         </t>
  </si>
  <si>
    <t xml:space="preserve">KAUFMAN WALTER MFCC           </t>
  </si>
  <si>
    <t xml:space="preserve">KAUFMANW                      </t>
  </si>
  <si>
    <t xml:space="preserve">KAYS LESLIE MFCC              </t>
  </si>
  <si>
    <t xml:space="preserve">KAYSLESLIE                    </t>
  </si>
  <si>
    <t xml:space="preserve">KELLY MARY MFCC               </t>
  </si>
  <si>
    <t xml:space="preserve">KELLYMARY                     </t>
  </si>
  <si>
    <t xml:space="preserve">KELLY SANDAL MFCC             </t>
  </si>
  <si>
    <t xml:space="preserve">KELLYSANDAL                   </t>
  </si>
  <si>
    <t xml:space="preserve">KEY EDITH MFCC                </t>
  </si>
  <si>
    <t xml:space="preserve">KEYEDITH                      </t>
  </si>
  <si>
    <t xml:space="preserve">KIEHN DONALD MFCC             </t>
  </si>
  <si>
    <t xml:space="preserve">KIEHND                        </t>
  </si>
  <si>
    <t xml:space="preserve">KING BRUCE MFCC               </t>
  </si>
  <si>
    <t xml:space="preserve">KINGBRUCE                     </t>
  </si>
  <si>
    <t xml:space="preserve">KING CHARLES MFCC             </t>
  </si>
  <si>
    <t xml:space="preserve">KINGCHARLES                   </t>
  </si>
  <si>
    <t xml:space="preserve">KING JANET MFCC               </t>
  </si>
  <si>
    <t xml:space="preserve">KINGJANET                     </t>
  </si>
  <si>
    <t xml:space="preserve">KOLO ELIZABETH MFCC           </t>
  </si>
  <si>
    <t xml:space="preserve">KOLOE                         </t>
  </si>
  <si>
    <t xml:space="preserve">KUSTERER HANNAH MFCC          </t>
  </si>
  <si>
    <t xml:space="preserve">KUSTERER                      </t>
  </si>
  <si>
    <t xml:space="preserve">LARSEN BARBARA MFCC           </t>
  </si>
  <si>
    <t xml:space="preserve">LARSENBARBA                   </t>
  </si>
  <si>
    <t xml:space="preserve">LEMBECK INGEBORG MFCC         </t>
  </si>
  <si>
    <t xml:space="preserve">LEMBECK                       </t>
  </si>
  <si>
    <t xml:space="preserve">LINTON BRUCE MFCC             </t>
  </si>
  <si>
    <t xml:space="preserve">LINTONBRUCE                   </t>
  </si>
  <si>
    <t xml:space="preserve">MARLAR MARYANN MFCC           </t>
  </si>
  <si>
    <t xml:space="preserve">MARLAR                        </t>
  </si>
  <si>
    <t xml:space="preserve">MCCRATIC MICHAEL MFCC         </t>
  </si>
  <si>
    <t xml:space="preserve">MCCRATIC                      </t>
  </si>
  <si>
    <t xml:space="preserve">MCINTYRE SALLY MFCC           </t>
  </si>
  <si>
    <t xml:space="preserve">MCINTYRESA                    </t>
  </si>
  <si>
    <t xml:space="preserve">MCMULLEN DANA MFCC            </t>
  </si>
  <si>
    <t xml:space="preserve">MCMULLEND                     </t>
  </si>
  <si>
    <t xml:space="preserve">MELLENO CHARLOTTE MFCC        </t>
  </si>
  <si>
    <t xml:space="preserve">MELLENOC                      </t>
  </si>
  <si>
    <t xml:space="preserve">MERZ-STAVIS DENISE MFCC       </t>
  </si>
  <si>
    <t xml:space="preserve">MERZSTAVIS                    </t>
  </si>
  <si>
    <t xml:space="preserve">MITLYNG SELENE MFCC           </t>
  </si>
  <si>
    <t xml:space="preserve">MITLYNGSEL                    </t>
  </si>
  <si>
    <t xml:space="preserve">MOLLER SHEILA MFCC            </t>
  </si>
  <si>
    <t xml:space="preserve">MOLLERSHEILA                  </t>
  </si>
  <si>
    <t xml:space="preserve">MORRISH DONNA MFCC            </t>
  </si>
  <si>
    <t xml:space="preserve">MORRISHD                      </t>
  </si>
  <si>
    <t xml:space="preserve">MOSKOVITZ SIGMUND MFCC        </t>
  </si>
  <si>
    <t xml:space="preserve">MOSKOVITZS                    </t>
  </si>
  <si>
    <t xml:space="preserve">NANCE SUSAN MFCC              </t>
  </si>
  <si>
    <t xml:space="preserve">NANCESUSAN                    </t>
  </si>
  <si>
    <t xml:space="preserve">NAWY MARTHA MFCC              </t>
  </si>
  <si>
    <t xml:space="preserve">NAWYMARTHA                    </t>
  </si>
  <si>
    <t xml:space="preserve">OWENS SHARON MFCC             </t>
  </si>
  <si>
    <t xml:space="preserve">OWENSSHARON                   </t>
  </si>
  <si>
    <t xml:space="preserve">PACE-RODRIGUEZ PATIRICIA MFCC </t>
  </si>
  <si>
    <t xml:space="preserve">PACERODRIG                    </t>
  </si>
  <si>
    <t xml:space="preserve">PALLOCK RAND MFCC             </t>
  </si>
  <si>
    <t xml:space="preserve">PALLOCKR                      </t>
  </si>
  <si>
    <t xml:space="preserve">PARENT-SMITH JUDITH MFCC      </t>
  </si>
  <si>
    <t xml:space="preserve">PARENTSMITH                   </t>
  </si>
  <si>
    <t xml:space="preserve">PAYNE MICHAEL MFCC            </t>
  </si>
  <si>
    <t xml:space="preserve">PAYNEMICHAEL                  </t>
  </si>
  <si>
    <t xml:space="preserve">PETERSON MARNIE MFCC          </t>
  </si>
  <si>
    <t xml:space="preserve">PETERSONMARN                  </t>
  </si>
  <si>
    <t xml:space="preserve">PETZEL MARGARET MFCC          </t>
  </si>
  <si>
    <t xml:space="preserve">PETZELM                       </t>
  </si>
  <si>
    <t xml:space="preserve">RATCLIFFE ELIZABETH MFCC      </t>
  </si>
  <si>
    <t xml:space="preserve">RATCLIFFE                     </t>
  </si>
  <si>
    <t xml:space="preserve">RILEY PAULA MFCC              </t>
  </si>
  <si>
    <t xml:space="preserve">RILEYPAULA                    </t>
  </si>
  <si>
    <t xml:space="preserve">ROBINSON BRYAN JANET MFCC     </t>
  </si>
  <si>
    <t xml:space="preserve">ROBINSONBRY                   </t>
  </si>
  <si>
    <t xml:space="preserve">ROBLES DENNIS M MFT           </t>
  </si>
  <si>
    <t xml:space="preserve">ROBLESDENNIS                  </t>
  </si>
  <si>
    <t xml:space="preserve">ROGERS KATHLEEN MFCC          </t>
  </si>
  <si>
    <t xml:space="preserve">ROGERSKATHL                   </t>
  </si>
  <si>
    <t xml:space="preserve">ROSE SUSAN MFCC               </t>
  </si>
  <si>
    <t xml:space="preserve">ROSESUSAN                     </t>
  </si>
  <si>
    <t xml:space="preserve">RUCHLIS JANICE MFCC           </t>
  </si>
  <si>
    <t xml:space="preserve">RUCHLIS                       </t>
  </si>
  <si>
    <t xml:space="preserve">SCHIFFER ELISABETH MFCC       </t>
  </si>
  <si>
    <t xml:space="preserve">SCHIFFERE                     </t>
  </si>
  <si>
    <t xml:space="preserve">SCHREY MARY MFCC              </t>
  </si>
  <si>
    <t xml:space="preserve">SCHREY                        </t>
  </si>
  <si>
    <t xml:space="preserve">SCHUCHMAN PENNY MFCC          </t>
  </si>
  <si>
    <t xml:space="preserve">SCHUCHMAN                     </t>
  </si>
  <si>
    <t xml:space="preserve">SCHWARTZMAN JACQUELINE MFCC   </t>
  </si>
  <si>
    <t xml:space="preserve">SCHWARTZMAN                   </t>
  </si>
  <si>
    <t xml:space="preserve">SHER GAIL                     </t>
  </si>
  <si>
    <t xml:space="preserve">SHERGAIL                      </t>
  </si>
  <si>
    <t xml:space="preserve">SHIELDS REGINA MFCC           </t>
  </si>
  <si>
    <t xml:space="preserve">SHIELDS REGI                  </t>
  </si>
  <si>
    <t xml:space="preserve">SLAKEY PAUL MFCC              </t>
  </si>
  <si>
    <t xml:space="preserve">SLAKEYPAUL                    </t>
  </si>
  <si>
    <t xml:space="preserve">SMITH TERI MFCC               </t>
  </si>
  <si>
    <t xml:space="preserve">SMITHTERI                     </t>
  </si>
  <si>
    <t xml:space="preserve">SPECTOR AUDREY MFCC           </t>
  </si>
  <si>
    <t xml:space="preserve">SPECTORAUDRE                  </t>
  </si>
  <si>
    <t xml:space="preserve">SPEIGHTS SHARLENE MFCC        </t>
  </si>
  <si>
    <t xml:space="preserve">SPEIGHTS                      </t>
  </si>
  <si>
    <t xml:space="preserve">STIL JOOSKE MFCC              </t>
  </si>
  <si>
    <t xml:space="preserve">STILJOOSKE                    </t>
  </si>
  <si>
    <t xml:space="preserve">TENBRINK ART MFCC             </t>
  </si>
  <si>
    <t xml:space="preserve">TENBRINK                      </t>
  </si>
  <si>
    <t xml:space="preserve">TEPLITSKY ILYA MFCC           </t>
  </si>
  <si>
    <t xml:space="preserve">TEPLITSKY                     </t>
  </si>
  <si>
    <t xml:space="preserve">VAN STEENBERG ANN MFCC        </t>
  </si>
  <si>
    <t xml:space="preserve">VANSTEENBERG                  </t>
  </si>
  <si>
    <t xml:space="preserve">VEGA SUSAN MFCC               </t>
  </si>
  <si>
    <t xml:space="preserve">VEGASUSAN                     </t>
  </si>
  <si>
    <t xml:space="preserve">VEGLIANTE EDWARD MFCC         </t>
  </si>
  <si>
    <t xml:space="preserve">VEGLIANTE                     </t>
  </si>
  <si>
    <t xml:space="preserve">WARREN CATHERINE MFCC         </t>
  </si>
  <si>
    <t xml:space="preserve">WARRENCATH                    </t>
  </si>
  <si>
    <t xml:space="preserve">WAXMAN ELINOR MFCC            </t>
  </si>
  <si>
    <t xml:space="preserve">WAXMANELINOR                  </t>
  </si>
  <si>
    <t xml:space="preserve">WEINSTEIN JULIAN MFCC         </t>
  </si>
  <si>
    <t xml:space="preserve">WEINSTEINJ                    </t>
  </si>
  <si>
    <t xml:space="preserve">WESKE MARCIA MFCC             </t>
  </si>
  <si>
    <t xml:space="preserve">WESKE                         </t>
  </si>
  <si>
    <t xml:space="preserve">YANDELL GENEVIEVE MFCC        </t>
  </si>
  <si>
    <t xml:space="preserve">YANDELLG                      </t>
  </si>
  <si>
    <t xml:space="preserve">ZALLEN LINDA MFCC             </t>
  </si>
  <si>
    <t xml:space="preserve">ZALLENLINDA                   </t>
  </si>
  <si>
    <t xml:space="preserve">ZELWER BARBARA MFCC           </t>
  </si>
  <si>
    <t xml:space="preserve">ZELWERBARB                    </t>
  </si>
  <si>
    <t xml:space="preserve">ZIPPERMAN PAUL MFCC           </t>
  </si>
  <si>
    <t xml:space="preserve">ZIPPERMAN                     </t>
  </si>
  <si>
    <t xml:space="preserve">ZUNG HELEN MFCC               </t>
  </si>
  <si>
    <t xml:space="preserve">ZUNG                          </t>
  </si>
  <si>
    <t xml:space="preserve">MANTZ SANDRA MFCC             </t>
  </si>
  <si>
    <t xml:space="preserve">MANTZS                        </t>
  </si>
  <si>
    <t xml:space="preserve">STUMP DOROTHY MFCC            </t>
  </si>
  <si>
    <t xml:space="preserve">STUMPDORO                     </t>
  </si>
  <si>
    <t xml:space="preserve">TESTA-HARKER SHARON MFCC      </t>
  </si>
  <si>
    <t xml:space="preserve">TESTAHARKER                   </t>
  </si>
  <si>
    <t xml:space="preserve">THARPE BETTY MFCC             </t>
  </si>
  <si>
    <t xml:space="preserve">THARPE                        </t>
  </si>
  <si>
    <t xml:space="preserve">CSAKLOS LISA MFCC             </t>
  </si>
  <si>
    <t xml:space="preserve">CSAKLOS                       </t>
  </si>
  <si>
    <t xml:space="preserve">HEWETT KIRK MFCC              </t>
  </si>
  <si>
    <t xml:space="preserve">HEWETTKIRK                    </t>
  </si>
  <si>
    <t xml:space="preserve">MOYERS MARILYNNE MFCC         </t>
  </si>
  <si>
    <t xml:space="preserve">MOYERSMARIL                   </t>
  </si>
  <si>
    <t xml:space="preserve">ALTA BATES MEDICAL CENTER FFS </t>
  </si>
  <si>
    <t xml:space="preserve">FFS ALTA BAT                  </t>
  </si>
  <si>
    <t>FFS ANN MARTIN CHILDREN'S CENT</t>
  </si>
  <si>
    <t xml:space="preserve">FFS ANN MART                  </t>
  </si>
  <si>
    <t xml:space="preserve">FFS EARTH CIRCLES COUNSELING  </t>
  </si>
  <si>
    <t xml:space="preserve">FFS EARTH C                   </t>
  </si>
  <si>
    <t xml:space="preserve">FFS ASIAN MENTAL HEALTH       </t>
  </si>
  <si>
    <t xml:space="preserve">FFS ASIAN                     </t>
  </si>
  <si>
    <t>FFS BAY AREA PSYCHOTHERAPY SVC</t>
  </si>
  <si>
    <t xml:space="preserve">FFS BAY AREA                  </t>
  </si>
  <si>
    <t xml:space="preserve">FFS BEHAVIORAL PEDIATRICS INC </t>
  </si>
  <si>
    <t xml:space="preserve">FFS BEH PED                   </t>
  </si>
  <si>
    <t xml:space="preserve">FFS CENTER FOR FAMILY COUNSEL </t>
  </si>
  <si>
    <t xml:space="preserve">FFS CENT FAM                  </t>
  </si>
  <si>
    <t xml:space="preserve">FFS CHANGE THRU XANTHOS INC   </t>
  </si>
  <si>
    <t xml:space="preserve">FFS XANTHOS                   </t>
  </si>
  <si>
    <t xml:space="preserve">FFS CHARIS YOUTH CENTER       </t>
  </si>
  <si>
    <t xml:space="preserve">FFS CHARIS                    </t>
  </si>
  <si>
    <t xml:space="preserve">FFS FAMILY STRESS CENTER      </t>
  </si>
  <si>
    <t xml:space="preserve">FFS FAM STRE                  </t>
  </si>
  <si>
    <t xml:space="preserve">FFS FULL CIRCLE PROGRAMS INC  </t>
  </si>
  <si>
    <t xml:space="preserve">FFS FULL CIR                  </t>
  </si>
  <si>
    <t xml:space="preserve">FFS LA CLINICA DE LA RAZA     </t>
  </si>
  <si>
    <t xml:space="preserve">FFS LA CLINI                  </t>
  </si>
  <si>
    <t xml:space="preserve">FFS PARENTAL STRESS SERVICE   </t>
  </si>
  <si>
    <t xml:space="preserve">FFS PAR STRE                  </t>
  </si>
  <si>
    <t xml:space="preserve">Hold for next provider        </t>
  </si>
  <si>
    <t xml:space="preserve">FFS SECOND C                  </t>
  </si>
  <si>
    <t xml:space="preserve">FFS ARROYO COUNSELING SERVICE </t>
  </si>
  <si>
    <t xml:space="preserve">FFS ARROYO                    </t>
  </si>
  <si>
    <t xml:space="preserve">FFS OASIS CENTER INC          </t>
  </si>
  <si>
    <t xml:space="preserve">FFS OASIS C                   </t>
  </si>
  <si>
    <t>FFS SCRIPPS PSYCHOLOGICAL ASSC</t>
  </si>
  <si>
    <t xml:space="preserve">FFS SCRIPPS                   </t>
  </si>
  <si>
    <t xml:space="preserve">FFS DEL VALLE CLINIC          </t>
  </si>
  <si>
    <t xml:space="preserve">FFS DEL VALL                  </t>
  </si>
  <si>
    <t xml:space="preserve">FFS SURVIVORS INTERNATIONAL   </t>
  </si>
  <si>
    <t xml:space="preserve">FFS SURVIVOR                  </t>
  </si>
  <si>
    <t xml:space="preserve">FFS THE 14TH ST MEDICAL GROUP </t>
  </si>
  <si>
    <t xml:space="preserve">FFS 14TH ST                   </t>
  </si>
  <si>
    <t xml:space="preserve">FFS CALIF MEDICAL FOUNDATION  </t>
  </si>
  <si>
    <t xml:space="preserve">FS CAL MED                    </t>
  </si>
  <si>
    <t xml:space="preserve">BARTENSTEIN DEBRA MFCC        </t>
  </si>
  <si>
    <t xml:space="preserve">BEAVERS KATHLEEN MFCC         </t>
  </si>
  <si>
    <t xml:space="preserve">BENDER SHARON MFCC            </t>
  </si>
  <si>
    <t xml:space="preserve">BERHANU ENGEDAW MFCC          </t>
  </si>
  <si>
    <t xml:space="preserve">BLACHMAN MARSHA MFCC          </t>
  </si>
  <si>
    <t xml:space="preserve">CHRISTIAN THANA MFCC          </t>
  </si>
  <si>
    <t xml:space="preserve">CHRISTIAN TH                  </t>
  </si>
  <si>
    <t xml:space="preserve">DAYAN FRAN MFCC               </t>
  </si>
  <si>
    <t xml:space="preserve">DAYAN FRAN                    </t>
  </si>
  <si>
    <t xml:space="preserve">DE SOUSA GINA MFCC            </t>
  </si>
  <si>
    <t xml:space="preserve">DE SOUSA                      </t>
  </si>
  <si>
    <t xml:space="preserve">DEAN MARY MFCC                </t>
  </si>
  <si>
    <t xml:space="preserve">DEAN MARY                     </t>
  </si>
  <si>
    <t xml:space="preserve">FISHER BARBARA MFCC           </t>
  </si>
  <si>
    <t xml:space="preserve">FISHER BARB                   </t>
  </si>
  <si>
    <t xml:space="preserve">FORTE DENISE MFCC             </t>
  </si>
  <si>
    <t xml:space="preserve">FORTE DENISE                  </t>
  </si>
  <si>
    <t xml:space="preserve">FRIESEN JANICE MFCC           </t>
  </si>
  <si>
    <t xml:space="preserve">GREENE JULIA MFCC             </t>
  </si>
  <si>
    <t xml:space="preserve">GREENE JULIA                  </t>
  </si>
  <si>
    <t xml:space="preserve">GUTFELD KEVIN MFCC            </t>
  </si>
  <si>
    <t xml:space="preserve">HALL DAISY MFCC               </t>
  </si>
  <si>
    <t xml:space="preserve">HALL DAISY                    </t>
  </si>
  <si>
    <t xml:space="preserve">HOLLOWAY MARJORIE MFCC        </t>
  </si>
  <si>
    <t xml:space="preserve">HOLLOWAY MAR                  </t>
  </si>
  <si>
    <t xml:space="preserve">HURT PATRICIA MFCC            </t>
  </si>
  <si>
    <t xml:space="preserve">HURT PATRICI                  </t>
  </si>
  <si>
    <t xml:space="preserve">KALISH MILTON MFCC            </t>
  </si>
  <si>
    <t xml:space="preserve">KEECH DIANE MFCC              </t>
  </si>
  <si>
    <t xml:space="preserve">KEECH DIANE                   </t>
  </si>
  <si>
    <t xml:space="preserve">KIM COLUMBA MFCC              </t>
  </si>
  <si>
    <t xml:space="preserve">KIM COLUMBA                   </t>
  </si>
  <si>
    <t xml:space="preserve">LOVE RHONDA MFCC              </t>
  </si>
  <si>
    <t xml:space="preserve">LOVE RHONDA                   </t>
  </si>
  <si>
    <t xml:space="preserve">MCINTOSH WANDA MFCC           </t>
  </si>
  <si>
    <t xml:space="preserve">MCKAY NANCY MFCC              </t>
  </si>
  <si>
    <t xml:space="preserve">MCKAY NANCY                   </t>
  </si>
  <si>
    <t xml:space="preserve">NESS BONNIE MFCC              </t>
  </si>
  <si>
    <t xml:space="preserve">NESS BONNIE                   </t>
  </si>
  <si>
    <t xml:space="preserve">PANNOR JONATHAN MFCC          </t>
  </si>
  <si>
    <t xml:space="preserve">POWELL ROBERTA MFCC           </t>
  </si>
  <si>
    <t xml:space="preserve">POWELL ROBE                   </t>
  </si>
  <si>
    <t xml:space="preserve">RASHADA MARYAM MFCC           </t>
  </si>
  <si>
    <t xml:space="preserve">RASHADA MAR                   </t>
  </si>
  <si>
    <t xml:space="preserve">RICHARDSON DEBRA MFCC         </t>
  </si>
  <si>
    <t xml:space="preserve">RICHARDSON                    </t>
  </si>
  <si>
    <t xml:space="preserve">SANCHEZ DOLORES MFCC          </t>
  </si>
  <si>
    <t xml:space="preserve">SANCHEZ DOLO                  </t>
  </si>
  <si>
    <t xml:space="preserve">SCOTT LOGAN MFCC              </t>
  </si>
  <si>
    <t xml:space="preserve">SCOTT LOGAN                   </t>
  </si>
  <si>
    <t xml:space="preserve">SCOTT MICHAEL MFCC            </t>
  </si>
  <si>
    <t xml:space="preserve">SCOTT MICHAE                  </t>
  </si>
  <si>
    <t xml:space="preserve">SHERBER STEVEN MFCC           </t>
  </si>
  <si>
    <t xml:space="preserve">SILVAGNI LORETTA MFCC         </t>
  </si>
  <si>
    <t xml:space="preserve">STARKEY LAWRENCE MFCC         </t>
  </si>
  <si>
    <t xml:space="preserve">STEINMAN SANDY MFCC           </t>
  </si>
  <si>
    <t xml:space="preserve">STERN ROBERTA MFCC            </t>
  </si>
  <si>
    <t xml:space="preserve">STERN ROBE                    </t>
  </si>
  <si>
    <t xml:space="preserve">THOMPSON JOHN MFCC            </t>
  </si>
  <si>
    <t xml:space="preserve">THOMPSON JOH                  </t>
  </si>
  <si>
    <t xml:space="preserve">WASHINGTON ALICE MFCC         </t>
  </si>
  <si>
    <t xml:space="preserve">WASHINGTON A                  </t>
  </si>
  <si>
    <t xml:space="preserve">WEBB LINDA MFCC               </t>
  </si>
  <si>
    <t xml:space="preserve">WEBB LINDA                    </t>
  </si>
  <si>
    <t xml:space="preserve">WIDERSTROM ANNE MFCC          </t>
  </si>
  <si>
    <t xml:space="preserve">WIKKELING DAKARI MFCC         </t>
  </si>
  <si>
    <t xml:space="preserve">BOSS SOUTH COUNTY SVC TEAM 1  </t>
  </si>
  <si>
    <t xml:space="preserve">BOSS SOCO T1                  </t>
  </si>
  <si>
    <t>SENECA KING ESTATES   REH FULL</t>
  </si>
  <si>
    <t xml:space="preserve">SENECA PS                     </t>
  </si>
  <si>
    <t xml:space="preserve">BOSS MHS ADULT PROGRAM        </t>
  </si>
  <si>
    <t xml:space="preserve">BOSS PRGRM                    </t>
  </si>
  <si>
    <t>FFYC SKYLINE EPSDT DY REH CHLD</t>
  </si>
  <si>
    <t xml:space="preserve">FFYC SKY EP                   </t>
  </si>
  <si>
    <t xml:space="preserve">PSC ROCK LAFLECHE MHS CHILD   </t>
  </si>
  <si>
    <t xml:space="preserve">PSC LA FLECH                  </t>
  </si>
  <si>
    <t xml:space="preserve">PSC CLINIC MHS CHILD          </t>
  </si>
  <si>
    <t xml:space="preserve">PSC MHS CH                    </t>
  </si>
  <si>
    <t xml:space="preserve">PSC ENCINAL SCH MHS CHILD     </t>
  </si>
  <si>
    <t xml:space="preserve">PSC ENCINAL                   </t>
  </si>
  <si>
    <t>Performance Outcomes Prototype</t>
  </si>
  <si>
    <t xml:space="preserve">PERF OUTC                     </t>
  </si>
  <si>
    <t>EBAC FREMONT SCHOOLS MHS CHILD</t>
  </si>
  <si>
    <t xml:space="preserve">EBAC FR SCH                   </t>
  </si>
  <si>
    <t xml:space="preserve">BRODY DAVID MD                </t>
  </si>
  <si>
    <t xml:space="preserve">BRODY                         </t>
  </si>
  <si>
    <t xml:space="preserve">BRONZO MICHAEL MD             </t>
  </si>
  <si>
    <t xml:space="preserve">BRONZO M                      </t>
  </si>
  <si>
    <t xml:space="preserve">BROWN MICHAEL E MD            </t>
  </si>
  <si>
    <t xml:space="preserve">BROWN MIC E.                  </t>
  </si>
  <si>
    <t xml:space="preserve">HUGHES WILLIAM H MD           </t>
  </si>
  <si>
    <t xml:space="preserve">HUGHES WIL                    </t>
  </si>
  <si>
    <t xml:space="preserve">KAHLON VASDEEP S MD           </t>
  </si>
  <si>
    <t xml:space="preserve">KAHLON VAS                    </t>
  </si>
  <si>
    <t xml:space="preserve">OGAMI DAVID N MD              </t>
  </si>
  <si>
    <t xml:space="preserve">DAVID OGAMI                   </t>
  </si>
  <si>
    <t xml:space="preserve">REISMAN BARBARA G MD          </t>
  </si>
  <si>
    <t xml:space="preserve">REISMAN B                     </t>
  </si>
  <si>
    <t xml:space="preserve">RICHMOND GLENN H MD           </t>
  </si>
  <si>
    <t xml:space="preserve">RICHMOND GL                   </t>
  </si>
  <si>
    <t xml:space="preserve">SHAPIRO IRWIN M MD            </t>
  </si>
  <si>
    <t xml:space="preserve">SHAPIRO IRW                   </t>
  </si>
  <si>
    <t xml:space="preserve">TANK DAYALAL D MD             </t>
  </si>
  <si>
    <t xml:space="preserve">TANK DAY                      </t>
  </si>
  <si>
    <t xml:space="preserve">WERNER-CROHN MINDY A MD       </t>
  </si>
  <si>
    <t xml:space="preserve">WERNER-CROHN                  </t>
  </si>
  <si>
    <t xml:space="preserve">XUEREB CHARLES E MD           </t>
  </si>
  <si>
    <t xml:space="preserve">XUEREB                        </t>
  </si>
  <si>
    <t xml:space="preserve">COLES JEREMY PHD              </t>
  </si>
  <si>
    <t xml:space="preserve">COLES JER                     </t>
  </si>
  <si>
    <t xml:space="preserve">LEONG SAM B PHD               </t>
  </si>
  <si>
    <t xml:space="preserve">LEONG SAM                     </t>
  </si>
  <si>
    <t xml:space="preserve">LEUNG ALEX C PHD              </t>
  </si>
  <si>
    <t xml:space="preserve">LEUNG ALEX                    </t>
  </si>
  <si>
    <t xml:space="preserve">MCGAIN BEVERLY G PHD          </t>
  </si>
  <si>
    <t xml:space="preserve">MCGAIN BEV                    </t>
  </si>
  <si>
    <t xml:space="preserve">NICKENS JOHN T PHD            </t>
  </si>
  <si>
    <t xml:space="preserve">NICKENS J                     </t>
  </si>
  <si>
    <t xml:space="preserve">NUNNO VINCENT J PHD           </t>
  </si>
  <si>
    <t xml:space="preserve">NUNNO VIN                     </t>
  </si>
  <si>
    <t xml:space="preserve">RABECK MELVIN J PHD           </t>
  </si>
  <si>
    <t xml:space="preserve">RABECK MEL                    </t>
  </si>
  <si>
    <t xml:space="preserve">RAHMANY KHALIL R PHD          </t>
  </si>
  <si>
    <t xml:space="preserve">RAHMANY K                     </t>
  </si>
  <si>
    <t xml:space="preserve">STEIN BRENNA B PHD            </t>
  </si>
  <si>
    <t xml:space="preserve">STEIN BRE                     </t>
  </si>
  <si>
    <t xml:space="preserve">AZIZ ALI MD                   </t>
  </si>
  <si>
    <t xml:space="preserve">AZIZ ALI                      </t>
  </si>
  <si>
    <t xml:space="preserve">BERNSTEIN WENDY J MD          </t>
  </si>
  <si>
    <t xml:space="preserve">BERNSTEIN                     </t>
  </si>
  <si>
    <t xml:space="preserve">BLAUSTEIN MEL MD              </t>
  </si>
  <si>
    <t xml:space="preserve">BLAUSTEIN                     </t>
  </si>
  <si>
    <t xml:space="preserve">BLUM ALEXANDER MD             </t>
  </si>
  <si>
    <t xml:space="preserve">BLUM ALEX                     </t>
  </si>
  <si>
    <t xml:space="preserve">BRESNICK WILLIAM H MD         </t>
  </si>
  <si>
    <t xml:space="preserve">BRESNICK W                    </t>
  </si>
  <si>
    <t xml:space="preserve">CLARK MICHELLE O PHD          </t>
  </si>
  <si>
    <t xml:space="preserve">CLARK MICH                    </t>
  </si>
  <si>
    <t xml:space="preserve">COTTMAN HAROLD F MD           </t>
  </si>
  <si>
    <t xml:space="preserve">COTTMAN                       </t>
  </si>
  <si>
    <t xml:space="preserve">DIAMOND ROBERT P MD           </t>
  </si>
  <si>
    <t xml:space="preserve">DIAMOND ROB                   </t>
  </si>
  <si>
    <t xml:space="preserve">DOLGOFF ROBERT K MD           </t>
  </si>
  <si>
    <t xml:space="preserve">DOLGOFF                       </t>
  </si>
  <si>
    <t xml:space="preserve">DOWNS SUSAN R MD              </t>
  </si>
  <si>
    <t xml:space="preserve">DOWNS SUS                     </t>
  </si>
  <si>
    <t xml:space="preserve">ALPERT BETTY J MFCC           </t>
  </si>
  <si>
    <t xml:space="preserve">ALPERT BET                    </t>
  </si>
  <si>
    <t xml:space="preserve">BOURNE CRIS F MFCC            </t>
  </si>
  <si>
    <t xml:space="preserve">BOURNE C                      </t>
  </si>
  <si>
    <t xml:space="preserve">CAMPBELL RHONDA MFCC          </t>
  </si>
  <si>
    <t xml:space="preserve">CAMPBELL R                    </t>
  </si>
  <si>
    <t xml:space="preserve">CARLSON JAN H MFCC            </t>
  </si>
  <si>
    <t xml:space="preserve">CARLSON JAN                   </t>
  </si>
  <si>
    <t xml:space="preserve">DONAHUE ERIN C MFCC           </t>
  </si>
  <si>
    <t xml:space="preserve">DONAHUE ER                    </t>
  </si>
  <si>
    <t xml:space="preserve">FOLAND SARAH W MFCC           </t>
  </si>
  <si>
    <t xml:space="preserve">FOLAND SAR                    </t>
  </si>
  <si>
    <t xml:space="preserve">GLEESON PATRICIA B MFCC       </t>
  </si>
  <si>
    <t xml:space="preserve">GLEESON                       </t>
  </si>
  <si>
    <t xml:space="preserve">HOUSTON SAMUEL R MFCC         </t>
  </si>
  <si>
    <t xml:space="preserve">HOUSTON SAM                   </t>
  </si>
  <si>
    <t xml:space="preserve">LAMMERS ANN C MFCC            </t>
  </si>
  <si>
    <t xml:space="preserve">LAMMERS ANN                   </t>
  </si>
  <si>
    <t xml:space="preserve">LOCKE DANA E MFCC             </t>
  </si>
  <si>
    <t xml:space="preserve">LOCKE D                       </t>
  </si>
  <si>
    <t xml:space="preserve">LOVE SUSAN L MFCC             </t>
  </si>
  <si>
    <t xml:space="preserve">LOVE SUSAN                    </t>
  </si>
  <si>
    <t xml:space="preserve">MONSOUR LOUISE MFCC           </t>
  </si>
  <si>
    <t xml:space="preserve">MONSOUR L                     </t>
  </si>
  <si>
    <t xml:space="preserve">MURRAY BARBARA J MFCC         </t>
  </si>
  <si>
    <t xml:space="preserve">MURRAY BARB                   </t>
  </si>
  <si>
    <t xml:space="preserve">MYERS NORMA L MFCC            </t>
  </si>
  <si>
    <t xml:space="preserve">MYERS NORMA                   </t>
  </si>
  <si>
    <t xml:space="preserve">OBERSTEIN ADRIENNE S MFCC     </t>
  </si>
  <si>
    <t xml:space="preserve">OBERSTEIN A                   </t>
  </si>
  <si>
    <t xml:space="preserve">PARKER SHARON MFCC            </t>
  </si>
  <si>
    <t xml:space="preserve">PARKER S                      </t>
  </si>
  <si>
    <t xml:space="preserve">PRICE NANCY L MFCC            </t>
  </si>
  <si>
    <t xml:space="preserve">PRICE NAN                     </t>
  </si>
  <si>
    <t xml:space="preserve">RACHELS KAREN R MFCC          </t>
  </si>
  <si>
    <t xml:space="preserve">RACHELS K                     </t>
  </si>
  <si>
    <t xml:space="preserve">RETTIG-ZUCCHI RONALD M MFCC   </t>
  </si>
  <si>
    <t xml:space="preserve">RETTIG-ZUC                    </t>
  </si>
  <si>
    <t xml:space="preserve">RYAN VICTORIA MFCC            </t>
  </si>
  <si>
    <t xml:space="preserve">RYAN VIC                      </t>
  </si>
  <si>
    <t xml:space="preserve">SIEGEL LENI H MFCC            </t>
  </si>
  <si>
    <t xml:space="preserve">SIEGEL LEN                    </t>
  </si>
  <si>
    <t xml:space="preserve">STANSFIELD MILLIE MFCC        </t>
  </si>
  <si>
    <t xml:space="preserve">STANSFIELD M                  </t>
  </si>
  <si>
    <t xml:space="preserve">VENKUS ROBERT P MFCC          </t>
  </si>
  <si>
    <t xml:space="preserve">VENKUS                        </t>
  </si>
  <si>
    <t>PSY THERAPY INST INDIV FAM&amp;COM</t>
  </si>
  <si>
    <t xml:space="preserve">PSYTHER INST                  </t>
  </si>
  <si>
    <t xml:space="preserve">RICHARD G JIMENEZ MD INC      </t>
  </si>
  <si>
    <t xml:space="preserve">RJIMENEZ INC                  </t>
  </si>
  <si>
    <t xml:space="preserve">TRADITIONS BEHAV HEALTH GROUP </t>
  </si>
  <si>
    <t xml:space="preserve">TRAD BHEALTH                  </t>
  </si>
  <si>
    <t xml:space="preserve">UNITY CONCEPTS INC            </t>
  </si>
  <si>
    <t xml:space="preserve">UNITY CNCPTS                  </t>
  </si>
  <si>
    <t xml:space="preserve">CATHOLIC CHARTIES ARCHDCSE SF </t>
  </si>
  <si>
    <t xml:space="preserve">CATH CHAR SF                  </t>
  </si>
  <si>
    <t xml:space="preserve">BEAN MORRIS C                 </t>
  </si>
  <si>
    <t xml:space="preserve">BEAN MORRIS                   </t>
  </si>
  <si>
    <t xml:space="preserve">GARCIA CESAR                  </t>
  </si>
  <si>
    <t xml:space="preserve">GULBRANSON PATRICIA A         </t>
  </si>
  <si>
    <t xml:space="preserve">GULBRANSON                    </t>
  </si>
  <si>
    <t xml:space="preserve">STEINBERG NEIL B PHD          </t>
  </si>
  <si>
    <t xml:space="preserve">STEINBERG N                   </t>
  </si>
  <si>
    <t xml:space="preserve">YOUNG DONALD L                </t>
  </si>
  <si>
    <t xml:space="preserve">YOUNG DONALD                  </t>
  </si>
  <si>
    <t xml:space="preserve">BEHAVIORAL PED. OF BAY AREA   </t>
  </si>
  <si>
    <t xml:space="preserve">BEH PED B.A.                  </t>
  </si>
  <si>
    <t>SENECA SL&amp;FREMT INT FULL DY CH</t>
  </si>
  <si>
    <t xml:space="preserve">SENECA SL                     </t>
  </si>
  <si>
    <t xml:space="preserve">THUNDER ROAD DAY MHS CHILD    </t>
  </si>
  <si>
    <t xml:space="preserve">THUNDER MEDS                  </t>
  </si>
  <si>
    <t xml:space="preserve">GLUCK STUART B MD             </t>
  </si>
  <si>
    <t xml:space="preserve">GLUCK STUART                  </t>
  </si>
  <si>
    <t xml:space="preserve">KAHLON RAVINDER MD            </t>
  </si>
  <si>
    <t xml:space="preserve">KAHLON RAVIN                  </t>
  </si>
  <si>
    <t xml:space="preserve">SHAW STEVEN E MD              </t>
  </si>
  <si>
    <t xml:space="preserve">SHAW STEVEN                   </t>
  </si>
  <si>
    <t xml:space="preserve">BUNGER DEBRA MD               </t>
  </si>
  <si>
    <t xml:space="preserve">BUNGER DEBRA                  </t>
  </si>
  <si>
    <t xml:space="preserve">KUSHNIR YAROSLAV MD           </t>
  </si>
  <si>
    <t xml:space="preserve">KUSHNIR YARO                  </t>
  </si>
  <si>
    <t xml:space="preserve">MULLER FRANCIS MD             </t>
  </si>
  <si>
    <t xml:space="preserve">MULLER FRAN                   </t>
  </si>
  <si>
    <t xml:space="preserve">BAIDES THERESA L MD           </t>
  </si>
  <si>
    <t xml:space="preserve">BAIDES THERS                  </t>
  </si>
  <si>
    <t xml:space="preserve">FEENEY MARY PAT LCSW          </t>
  </si>
  <si>
    <t xml:space="preserve">FEENEY MARY                   </t>
  </si>
  <si>
    <t xml:space="preserve">BRAUN JEROME E MFCC           </t>
  </si>
  <si>
    <t xml:space="preserve">BRAUN JEROME                  </t>
  </si>
  <si>
    <t xml:space="preserve">KUSNIR ROSARIO M MFCC         </t>
  </si>
  <si>
    <t xml:space="preserve">KUSNIR ROSAR                  </t>
  </si>
  <si>
    <t xml:space="preserve">STRAUSS JEANNE M  MFCC        </t>
  </si>
  <si>
    <t xml:space="preserve">STRAUSS JEAN                  </t>
  </si>
  <si>
    <t xml:space="preserve">TAYLOR VIRGINIA L MFCC        </t>
  </si>
  <si>
    <t xml:space="preserve">TAYLOR VIRG                   </t>
  </si>
  <si>
    <t xml:space="preserve">HUGHES JUDITH MFCC            </t>
  </si>
  <si>
    <t xml:space="preserve">HUGHES JUDI                   </t>
  </si>
  <si>
    <t xml:space="preserve">MULLENIX BJ MFCC              </t>
  </si>
  <si>
    <t xml:space="preserve">MULLENIX BJ                   </t>
  </si>
  <si>
    <t xml:space="preserve">ROSS LINDA MFCC               </t>
  </si>
  <si>
    <t xml:space="preserve">ROSS LINDA                    </t>
  </si>
  <si>
    <t xml:space="preserve">VARMA KAREN MFCC              </t>
  </si>
  <si>
    <t xml:space="preserve">VARMA KAREN                   </t>
  </si>
  <si>
    <t xml:space="preserve">WEINBERG SARAH MFCC           </t>
  </si>
  <si>
    <t xml:space="preserve">WEINBERG SAR                  </t>
  </si>
  <si>
    <t xml:space="preserve">BLANCHARD MARIE PHD           </t>
  </si>
  <si>
    <t xml:space="preserve">BLANCHARD M                   </t>
  </si>
  <si>
    <t xml:space="preserve">BRENNER-LISS DEBORAH PHD      </t>
  </si>
  <si>
    <t xml:space="preserve">BRENNER-LISS                  </t>
  </si>
  <si>
    <t xml:space="preserve">CRAWFORD CHARLOTTE PHD        </t>
  </si>
  <si>
    <t xml:space="preserve">CRAWFORD CH                   </t>
  </si>
  <si>
    <t xml:space="preserve">MAYS RICHARD PHD              </t>
  </si>
  <si>
    <t xml:space="preserve">MAYS RICHARD                  </t>
  </si>
  <si>
    <t xml:space="preserve">TAYLOR WARREN PHD             </t>
  </si>
  <si>
    <t xml:space="preserve">TAYLOR WARRE                  </t>
  </si>
  <si>
    <t xml:space="preserve">WOLFSON JOHANNA PHD           </t>
  </si>
  <si>
    <t xml:space="preserve">WOLFSON JOHA                  </t>
  </si>
  <si>
    <t xml:space="preserve">TRINITY HEALTH CENTER         </t>
  </si>
  <si>
    <t xml:space="preserve">TRINITY HEAL                  </t>
  </si>
  <si>
    <t xml:space="preserve">TELECARE CHANGES ADL LEV2 PRG </t>
  </si>
  <si>
    <t xml:space="preserve">CHGS ADL2 PR                  </t>
  </si>
  <si>
    <t xml:space="preserve">HIAWATHA HARRIS INC.          </t>
  </si>
  <si>
    <t xml:space="preserve">HIAWATHA INC                  </t>
  </si>
  <si>
    <t>VERICARE OF CALIFORNIA MED GRP</t>
  </si>
  <si>
    <t xml:space="preserve">VERICARE CMG                  </t>
  </si>
  <si>
    <t>EBAC B WHITE SCH DY REH FUL CH</t>
  </si>
  <si>
    <t xml:space="preserve">EBAC B WHITE                  </t>
  </si>
  <si>
    <t xml:space="preserve">ARCE LUCIA MFCC               </t>
  </si>
  <si>
    <t xml:space="preserve">ARCE LUCIA                    </t>
  </si>
  <si>
    <t xml:space="preserve">IGL VALERIE MFCC              </t>
  </si>
  <si>
    <t xml:space="preserve">IGL VALERIE                   </t>
  </si>
  <si>
    <t xml:space="preserve">HARTMAN TRUDY A               </t>
  </si>
  <si>
    <t xml:space="preserve">HARTMAN TRUD                  </t>
  </si>
  <si>
    <t xml:space="preserve">VALDEZ JUDEN C MD             </t>
  </si>
  <si>
    <t xml:space="preserve">VALDEZ JUDEN                  </t>
  </si>
  <si>
    <t xml:space="preserve">KATZ GREGORY L PHD            </t>
  </si>
  <si>
    <t xml:space="preserve">KATZ GREGORY                  </t>
  </si>
  <si>
    <t xml:space="preserve">SALZ TIMOTHY F  PHD           </t>
  </si>
  <si>
    <t xml:space="preserve">SALZ TIM                      </t>
  </si>
  <si>
    <t xml:space="preserve">PRATHER CALVIN W              </t>
  </si>
  <si>
    <t xml:space="preserve">PRATHER CAL                   </t>
  </si>
  <si>
    <t xml:space="preserve">APRIL MICHELE S               </t>
  </si>
  <si>
    <t xml:space="preserve">APRIL MICH                    </t>
  </si>
  <si>
    <t xml:space="preserve">JOHNSON JANELL L              </t>
  </si>
  <si>
    <t xml:space="preserve">JOHNSON JAN                   </t>
  </si>
  <si>
    <t xml:space="preserve">MARCH ROBERT W                </t>
  </si>
  <si>
    <t xml:space="preserve">MARCH ROBT                    </t>
  </si>
  <si>
    <t xml:space="preserve">KAPSALIS CASSANDRA MFCC       </t>
  </si>
  <si>
    <t xml:space="preserve">KAPSALIS CAS                  </t>
  </si>
  <si>
    <t xml:space="preserve">TAMURA TOM H MFCC             </t>
  </si>
  <si>
    <t xml:space="preserve">TAMURA TOM H                  </t>
  </si>
  <si>
    <t xml:space="preserve">FISHER SUSAN M MFCC           </t>
  </si>
  <si>
    <t xml:space="preserve">FISHER SUSAN                  </t>
  </si>
  <si>
    <t xml:space="preserve">MOYER CINDIE M MFCC           </t>
  </si>
  <si>
    <t xml:space="preserve">MOYER CINDIE                  </t>
  </si>
  <si>
    <t xml:space="preserve">MOUTON MANLY M MFCC           </t>
  </si>
  <si>
    <t xml:space="preserve">MOUTON MANLY                  </t>
  </si>
  <si>
    <t xml:space="preserve">KOCH ELLEN J MFCC             </t>
  </si>
  <si>
    <t xml:space="preserve">KOCH ELLEN J                  </t>
  </si>
  <si>
    <t xml:space="preserve">DUXBURY MICKY M MFCC          </t>
  </si>
  <si>
    <t xml:space="preserve">DUXBURY MICK                  </t>
  </si>
  <si>
    <t xml:space="preserve">DUVAL DERETHIA C              </t>
  </si>
  <si>
    <t xml:space="preserve">DUVAL DERETH                  </t>
  </si>
  <si>
    <t>SUMMERS-WILLIAMS SHERRILL MFCC</t>
  </si>
  <si>
    <t xml:space="preserve">SUMMERS-WILL                  </t>
  </si>
  <si>
    <t xml:space="preserve">SUTTERFIELD G KIM MFCC        </t>
  </si>
  <si>
    <t xml:space="preserve">SUTTERFIELD                   </t>
  </si>
  <si>
    <t xml:space="preserve">GIVENS EDITH J MFCC           </t>
  </si>
  <si>
    <t xml:space="preserve">GIVENS EDITH                  </t>
  </si>
  <si>
    <t xml:space="preserve">SANDHU HARSIMRAT MD           </t>
  </si>
  <si>
    <t xml:space="preserve">SANDHU HARSI                  </t>
  </si>
  <si>
    <t xml:space="preserve">MOIX LUKE J MD                </t>
  </si>
  <si>
    <t xml:space="preserve">MOIX LUKE J                   </t>
  </si>
  <si>
    <t xml:space="preserve">SAAD JOYCE  PHD               </t>
  </si>
  <si>
    <t xml:space="preserve">SAAD JOYCE                    </t>
  </si>
  <si>
    <t xml:space="preserve">LEAVENS ALAN PHD              </t>
  </si>
  <si>
    <t xml:space="preserve">LEAVENS ALAN                  </t>
  </si>
  <si>
    <t xml:space="preserve">SMITH ANDREW R PHD            </t>
  </si>
  <si>
    <t xml:space="preserve">ANDREW SMITH                  </t>
  </si>
  <si>
    <t xml:space="preserve">SCHWARTZ MARJORIE LCSW        </t>
  </si>
  <si>
    <t xml:space="preserve">SCHWARTZ MAR                  </t>
  </si>
  <si>
    <t xml:space="preserve">HUGHES KATRINE LCSW           </t>
  </si>
  <si>
    <t xml:space="preserve">HUGHES KATRI                  </t>
  </si>
  <si>
    <t xml:space="preserve">BARNES THOMAS J PHD           </t>
  </si>
  <si>
    <t xml:space="preserve">BARNES THOMA                  </t>
  </si>
  <si>
    <t xml:space="preserve">GOLDING JACQUELINE PHD        </t>
  </si>
  <si>
    <t xml:space="preserve">GOLDING JACQ                  </t>
  </si>
  <si>
    <t xml:space="preserve">LOSSY FRANK T MD              </t>
  </si>
  <si>
    <t xml:space="preserve">LOSSY FRANK                   </t>
  </si>
  <si>
    <t xml:space="preserve">FIELD LAUREN G MFCC           </t>
  </si>
  <si>
    <t xml:space="preserve">FIELD LAUREN                  </t>
  </si>
  <si>
    <t xml:space="preserve">BACHMEIER  MICHELE R          </t>
  </si>
  <si>
    <t xml:space="preserve">BACHMEIER MI                  </t>
  </si>
  <si>
    <t xml:space="preserve">LIGHT MARY T MFCC             </t>
  </si>
  <si>
    <t xml:space="preserve">LIGHT MARY T                  </t>
  </si>
  <si>
    <t xml:space="preserve">FELDMAN JANICE S              </t>
  </si>
  <si>
    <t xml:space="preserve">FELDMAN JAN                   </t>
  </si>
  <si>
    <t xml:space="preserve">CHAVOSHIAN ALI-REZA PHD       </t>
  </si>
  <si>
    <t xml:space="preserve">CHAVOSHIAN A                  </t>
  </si>
  <si>
    <t xml:space="preserve">LONGWELL KATHLEEN PHD         </t>
  </si>
  <si>
    <t xml:space="preserve">LONGWELL KAT                  </t>
  </si>
  <si>
    <t xml:space="preserve">LORE JOHN R PHD               </t>
  </si>
  <si>
    <t xml:space="preserve">LORE JOHN R                   </t>
  </si>
  <si>
    <t xml:space="preserve">WOLFF LAURA E PHD             </t>
  </si>
  <si>
    <t xml:space="preserve">WOLFF LAURA                   </t>
  </si>
  <si>
    <t xml:space="preserve">BAXTER GLORIA J LCSWW         </t>
  </si>
  <si>
    <t xml:space="preserve">BAXTER GLORI                  </t>
  </si>
  <si>
    <t xml:space="preserve">FISHER DAVID MFCC             </t>
  </si>
  <si>
    <t xml:space="preserve">FISHER DAVID                  </t>
  </si>
  <si>
    <t xml:space="preserve">VOS MENO A MFCC               </t>
  </si>
  <si>
    <t xml:space="preserve">VOS MENO A                    </t>
  </si>
  <si>
    <t xml:space="preserve">DUNN KAREN MFCC               </t>
  </si>
  <si>
    <t xml:space="preserve">DUNN KAREN                    </t>
  </si>
  <si>
    <t xml:space="preserve">DUNN ARLENE MFCC              </t>
  </si>
  <si>
    <t xml:space="preserve">DUNN ARLENE                   </t>
  </si>
  <si>
    <t xml:space="preserve">DREIFUSS NOGA MFCC            </t>
  </si>
  <si>
    <t xml:space="preserve">DREIFUSS NOG                  </t>
  </si>
  <si>
    <t xml:space="preserve">HADEN WILLIAM C MFCC          </t>
  </si>
  <si>
    <t xml:space="preserve">HADEN WILLIA                  </t>
  </si>
  <si>
    <t xml:space="preserve">HARDY-LEE MARTHA M MFCC       </t>
  </si>
  <si>
    <t xml:space="preserve">HARDY-LEE                     </t>
  </si>
  <si>
    <t xml:space="preserve">TETRAULT LUCIE MFCC           </t>
  </si>
  <si>
    <t xml:space="preserve">TETRAULT LUC                  </t>
  </si>
  <si>
    <t xml:space="preserve">FACHER NANCY LCSW             </t>
  </si>
  <si>
    <t xml:space="preserve">FACHER NANCY                  </t>
  </si>
  <si>
    <t xml:space="preserve">GRUNSTEIN SARA LCSW           </t>
  </si>
  <si>
    <t xml:space="preserve">GRUNSTEIN SA                  </t>
  </si>
  <si>
    <t xml:space="preserve">YOUNG HAROLD C LCSW           </t>
  </si>
  <si>
    <t xml:space="preserve">YOUNG HAROLD                  </t>
  </si>
  <si>
    <t xml:space="preserve">YOUNG VICKI L LCSW            </t>
  </si>
  <si>
    <t xml:space="preserve">YOUNG VICKI                   </t>
  </si>
  <si>
    <t xml:space="preserve">FRIEDMAN CLARE T  PHD         </t>
  </si>
  <si>
    <t xml:space="preserve">FRIEDMAN CLA                  </t>
  </si>
  <si>
    <t xml:space="preserve">FREMONT PSYCHIATRY MED GROUP  </t>
  </si>
  <si>
    <t xml:space="preserve">FREMNT GROUP                  </t>
  </si>
  <si>
    <t xml:space="preserve">SKY CAROLE C                  </t>
  </si>
  <si>
    <t xml:space="preserve">ROSS JUDITH                   </t>
  </si>
  <si>
    <t>ALAMEDA COUNTY FOSTER CARE ASO</t>
  </si>
  <si>
    <t xml:space="preserve">ASO                           </t>
  </si>
  <si>
    <t xml:space="preserve">BROCKS KIRK D                 </t>
  </si>
  <si>
    <t xml:space="preserve">BROCKS KIRK                   </t>
  </si>
  <si>
    <t xml:space="preserve">YOUNG  DIANA MFCC             </t>
  </si>
  <si>
    <t xml:space="preserve">DIANA YOUNG                   </t>
  </si>
  <si>
    <t xml:space="preserve">HUERTA AMELIA LCSW            </t>
  </si>
  <si>
    <t xml:space="preserve">HUERTA AMELI                  </t>
  </si>
  <si>
    <t xml:space="preserve">HARRISON VIRGINIA LCSW        </t>
  </si>
  <si>
    <t xml:space="preserve">HARRISON VIR                  </t>
  </si>
  <si>
    <t xml:space="preserve">MOSES MABEL  LCSW             </t>
  </si>
  <si>
    <t xml:space="preserve">MOSES MABEL                   </t>
  </si>
  <si>
    <t xml:space="preserve">HEFFRON MARY PHD              </t>
  </si>
  <si>
    <t xml:space="preserve">MARY HEFFRON                  </t>
  </si>
  <si>
    <t xml:space="preserve">LOPEZ JOSE A PHD              </t>
  </si>
  <si>
    <t xml:space="preserve">LOPEZ JOSE A                  </t>
  </si>
  <si>
    <t xml:space="preserve">ZHALKOVSKY BORIS MD           </t>
  </si>
  <si>
    <t xml:space="preserve">ZHALKOVSKY                    </t>
  </si>
  <si>
    <t xml:space="preserve">GATEWAY COUNSELING GROUP      </t>
  </si>
  <si>
    <t xml:space="preserve">GATEWAY GRP                   </t>
  </si>
  <si>
    <t xml:space="preserve">LESLIE KATHLEEN M LCSW        </t>
  </si>
  <si>
    <t xml:space="preserve">LESLIE KATHL                  </t>
  </si>
  <si>
    <t xml:space="preserve">ADAMS  JOYCE W  LCSW          </t>
  </si>
  <si>
    <t xml:space="preserve">JOYCE ADAMS                   </t>
  </si>
  <si>
    <t xml:space="preserve">PETZEL JOSEPH                 </t>
  </si>
  <si>
    <t xml:space="preserve">PETZEL JOSEP                  </t>
  </si>
  <si>
    <t xml:space="preserve">FROMM ROBERT S MFCC           </t>
  </si>
  <si>
    <t xml:space="preserve">FROMM ROBERT                  </t>
  </si>
  <si>
    <t xml:space="preserve">MINSKY PAUL PHD               </t>
  </si>
  <si>
    <t xml:space="preserve">MINSKY PAUL                   </t>
  </si>
  <si>
    <t xml:space="preserve">HIGHUM JON E MD               </t>
  </si>
  <si>
    <t xml:space="preserve">HUGHUM JON                    </t>
  </si>
  <si>
    <t xml:space="preserve">SALMAN MELISSA J MFCC         </t>
  </si>
  <si>
    <t xml:space="preserve">SALMAN MELIS                  </t>
  </si>
  <si>
    <t>TELECARE CHANGES ADULT PROGRAM</t>
  </si>
  <si>
    <t xml:space="preserve">CHANGES PGRM                  </t>
  </si>
  <si>
    <t>TELECARE CHANGES OUTRCH AD MHS</t>
  </si>
  <si>
    <t xml:space="preserve">CHANGES OUTR                  </t>
  </si>
  <si>
    <t xml:space="preserve">TELECARE CHANGES FSP AD MHS   </t>
  </si>
  <si>
    <t xml:space="preserve">CHANGES FSP                   </t>
  </si>
  <si>
    <t>TELECARE CHANGES IND CM AD MHS</t>
  </si>
  <si>
    <t xml:space="preserve">CHANGES CM                    </t>
  </si>
  <si>
    <t>TELECARE CHANGES MAINTNC AD MH</t>
  </si>
  <si>
    <t xml:space="preserve">CHANGES MTNS                  </t>
  </si>
  <si>
    <t>CENTER/VULNERABLE CHILD MHS CH</t>
  </si>
  <si>
    <t xml:space="preserve">CVC MHS                       </t>
  </si>
  <si>
    <t xml:space="preserve">BAE  JAMES MD                 </t>
  </si>
  <si>
    <t xml:space="preserve">BAE JAMES                     </t>
  </si>
  <si>
    <t xml:space="preserve">GRINBERG ALEXANDER MD         </t>
  </si>
  <si>
    <t xml:space="preserve">GRINBERG ALE                  </t>
  </si>
  <si>
    <t xml:space="preserve">JOHNSON ANNA S LCSW           </t>
  </si>
  <si>
    <t xml:space="preserve">JOHNSON ANNA                  </t>
  </si>
  <si>
    <t xml:space="preserve">LOBER LAURIE LCSW             </t>
  </si>
  <si>
    <t xml:space="preserve">LAURIE LOBER                  </t>
  </si>
  <si>
    <t xml:space="preserve">SAMI DORIS R LCSW             </t>
  </si>
  <si>
    <t xml:space="preserve">SAMI DORIS R                  </t>
  </si>
  <si>
    <t xml:space="preserve">BENNETT CHRISTINA J MFCC      </t>
  </si>
  <si>
    <t xml:space="preserve">BENNET CHRIS                  </t>
  </si>
  <si>
    <t xml:space="preserve">DELAUBERT CLAUDE C MFCC       </t>
  </si>
  <si>
    <t xml:space="preserve">DELAUBERT CL                  </t>
  </si>
  <si>
    <t xml:space="preserve">LAIRD JOHNNA M MFCC           </t>
  </si>
  <si>
    <t xml:space="preserve">LAIRD JOHNNA                  </t>
  </si>
  <si>
    <t xml:space="preserve">LEWIS JANE E MFCC             </t>
  </si>
  <si>
    <t xml:space="preserve">LEWIS JANE E                  </t>
  </si>
  <si>
    <t xml:space="preserve">MCCONVILLE ANN E MFCC         </t>
  </si>
  <si>
    <t xml:space="preserve">MC CONVILLE                   </t>
  </si>
  <si>
    <t xml:space="preserve">STEINBERG-MICHAHELLES JANE S  </t>
  </si>
  <si>
    <t xml:space="preserve">STEINBERG-MI                  </t>
  </si>
  <si>
    <t xml:space="preserve">TRAVIS JACK MFCC              </t>
  </si>
  <si>
    <t xml:space="preserve">TRAVIS JACK                   </t>
  </si>
  <si>
    <t xml:space="preserve">GUTIERREZ RAFAEL MD           </t>
  </si>
  <si>
    <t xml:space="preserve">R GUTIERREZ                   </t>
  </si>
  <si>
    <t>JOHN MUIR BEHAVIORAL HEALTH CT</t>
  </si>
  <si>
    <t xml:space="preserve">JOHNMUIRHCTR                  </t>
  </si>
  <si>
    <t>NORTH BERKELEY COUNSELING CENT</t>
  </si>
  <si>
    <t xml:space="preserve">N.BERK COUNS                  </t>
  </si>
  <si>
    <t>PACIFIC CENTER FOR HUMAN GROWT</t>
  </si>
  <si>
    <t xml:space="preserve">PACIFIC CNTR                  </t>
  </si>
  <si>
    <t>ST JOSEPHS CNTR DEAF/HARD HEAR</t>
  </si>
  <si>
    <t xml:space="preserve">ST JOES CNTR                  </t>
  </si>
  <si>
    <t xml:space="preserve">TRI-VALLEY HAVEN              </t>
  </si>
  <si>
    <t xml:space="preserve">TRI-VALLEY                    </t>
  </si>
  <si>
    <t xml:space="preserve">TURNING POINT COUNSELING CNTR </t>
  </si>
  <si>
    <t xml:space="preserve">TURN POINT                    </t>
  </si>
  <si>
    <t>WILLIAM SPIVEY PHD INC dba F/C</t>
  </si>
  <si>
    <t xml:space="preserve">W.SPIVEY INC                  </t>
  </si>
  <si>
    <t xml:space="preserve">JOHN MUIR BEHAVIORAL HLTH CTR </t>
  </si>
  <si>
    <t xml:space="preserve">JOHN MUIR                     </t>
  </si>
  <si>
    <t xml:space="preserve">ACKING INGER    LCSW          </t>
  </si>
  <si>
    <t xml:space="preserve">INGER ACKING                  </t>
  </si>
  <si>
    <t xml:space="preserve">LAMB  BONNIE J MFCC           </t>
  </si>
  <si>
    <t xml:space="preserve">BONNIE LAMB                   </t>
  </si>
  <si>
    <t>PATHWAYS TO WEL LEV3 OAK AD MH</t>
  </si>
  <si>
    <t xml:space="preserve">PW OAKL3ADMH                  </t>
  </si>
  <si>
    <t>PATHWAYS TO WELLNESS OAK CH MH</t>
  </si>
  <si>
    <t xml:space="preserve">PW OAK CH MH                  </t>
  </si>
  <si>
    <t>PATHWAYS TO WEL LEV3 UC AD MHS</t>
  </si>
  <si>
    <t xml:space="preserve">PW UCL3 ADMH                  </t>
  </si>
  <si>
    <t>PATHWAYS TO WELLNESS UC CH MHS</t>
  </si>
  <si>
    <t xml:space="preserve">PW UC CH MH                   </t>
  </si>
  <si>
    <t xml:space="preserve">SENECA CENTER TBS MHS         </t>
  </si>
  <si>
    <t xml:space="preserve">SENECA TBS                    </t>
  </si>
  <si>
    <t xml:space="preserve">STARS TBS MHS                 </t>
  </si>
  <si>
    <t xml:space="preserve">STARS TBS                     </t>
  </si>
  <si>
    <t xml:space="preserve">TRIAD FAMILY SERVICES         </t>
  </si>
  <si>
    <t xml:space="preserve">TRIAD FAM                     </t>
  </si>
  <si>
    <t xml:space="preserve">MANQUEROS JOANNA LCSW         </t>
  </si>
  <si>
    <t xml:space="preserve">MANQUEROS                     </t>
  </si>
  <si>
    <t xml:space="preserve">LEVINE ALCALA MIRIAM LCSW     </t>
  </si>
  <si>
    <t xml:space="preserve">LEVINE                        </t>
  </si>
  <si>
    <t xml:space="preserve">ACKING INGER LCSW             </t>
  </si>
  <si>
    <t xml:space="preserve">ACKING                        </t>
  </si>
  <si>
    <t xml:space="preserve">SIEVERT DWIGHT MD             </t>
  </si>
  <si>
    <t xml:space="preserve">SIEVERT                       </t>
  </si>
  <si>
    <t xml:space="preserve">GUTIERREZ                     </t>
  </si>
  <si>
    <t xml:space="preserve">BLAIR JEFFRY MFCC/MFT         </t>
  </si>
  <si>
    <t xml:space="preserve">BLAIR                         </t>
  </si>
  <si>
    <t xml:space="preserve">BAKER JUDY MFCC/MFT           </t>
  </si>
  <si>
    <t xml:space="preserve">BAKER                         </t>
  </si>
  <si>
    <t xml:space="preserve">LAMB BONNIE MFCC/MFT          </t>
  </si>
  <si>
    <t xml:space="preserve">LAMB                          </t>
  </si>
  <si>
    <t>RUSSELLCURRY PATRICIA MFCC/MFT</t>
  </si>
  <si>
    <t xml:space="preserve">RUSSELCURRY                   </t>
  </si>
  <si>
    <t>TCARE CHANGES MIOCR CUSTODY AD</t>
  </si>
  <si>
    <t xml:space="preserve">MIOCR CUSTDY                  </t>
  </si>
  <si>
    <t>TCARE CHNGES MIOCR TRANS CM AD</t>
  </si>
  <si>
    <t xml:space="preserve">MIOCR TRANS                   </t>
  </si>
  <si>
    <t xml:space="preserve">CHEEMA PAVITAR MD             </t>
  </si>
  <si>
    <t xml:space="preserve">CHEEMA PAVIT                  </t>
  </si>
  <si>
    <t>TELECARE CHANGES ENR OUTR MHAD</t>
  </si>
  <si>
    <t xml:space="preserve">CHANGES EO                    </t>
  </si>
  <si>
    <t xml:space="preserve">ATHEY JENNIFER MD             </t>
  </si>
  <si>
    <t xml:space="preserve">ATHEY JENNIF                  </t>
  </si>
  <si>
    <t xml:space="preserve">ZIYAR LATIF MD                </t>
  </si>
  <si>
    <t xml:space="preserve">ZIYAR LATIF                   </t>
  </si>
  <si>
    <t xml:space="preserve">MASON-HUTFLESS CATHERINE MD   </t>
  </si>
  <si>
    <t xml:space="preserve">MASON HUTFLE                  </t>
  </si>
  <si>
    <t xml:space="preserve">BASTA FAWZY MD                </t>
  </si>
  <si>
    <t xml:space="preserve">BASTA FAWZY                   </t>
  </si>
  <si>
    <t xml:space="preserve">ISIDRO ROMEO MD               </t>
  </si>
  <si>
    <t xml:space="preserve">ISIDRO ROMEO                  </t>
  </si>
  <si>
    <t xml:space="preserve">VYDRO ALEKSANDR MD            </t>
  </si>
  <si>
    <t xml:space="preserve">VYDRO ALEKSA                  </t>
  </si>
  <si>
    <t xml:space="preserve">YU JOHN MD                    </t>
  </si>
  <si>
    <t xml:space="preserve">YU JOHN                       </t>
  </si>
  <si>
    <t xml:space="preserve">HARRISON ADA LCSW             </t>
  </si>
  <si>
    <t xml:space="preserve">HARRISON ADA                  </t>
  </si>
  <si>
    <t xml:space="preserve">MOSELEY AZELIA LCSW           </t>
  </si>
  <si>
    <t xml:space="preserve">MOSELYE AZEL                  </t>
  </si>
  <si>
    <t xml:space="preserve">MCFARLIN THOMASINE LCSW       </t>
  </si>
  <si>
    <t xml:space="preserve">MCFARLIN THO                  </t>
  </si>
  <si>
    <t xml:space="preserve">NOWAKOWSKI MONICA LCSW        </t>
  </si>
  <si>
    <t xml:space="preserve">NOWAKOWSKI M                  </t>
  </si>
  <si>
    <t xml:space="preserve">BERCOVICI CHRISTINA MFCC      </t>
  </si>
  <si>
    <t xml:space="preserve">BERCOVICI C                   </t>
  </si>
  <si>
    <t xml:space="preserve">BORGES-ODELL CYNTHIA MFCC     </t>
  </si>
  <si>
    <t xml:space="preserve">BORGES-ODELL                  </t>
  </si>
  <si>
    <t xml:space="preserve">PAGE LYNNE MFCC               </t>
  </si>
  <si>
    <t xml:space="preserve">PAGE LYNN                     </t>
  </si>
  <si>
    <t xml:space="preserve">NEWCOMB KAREN MFCC            </t>
  </si>
  <si>
    <t xml:space="preserve">NEWCOMB KARE                  </t>
  </si>
  <si>
    <t xml:space="preserve">LUMIERE LYNN MFCC             </t>
  </si>
  <si>
    <t xml:space="preserve">LUMIERE LYNN                  </t>
  </si>
  <si>
    <t xml:space="preserve">LA PAY SIMONE MFCC            </t>
  </si>
  <si>
    <t xml:space="preserve">LAPAY SIMONE                  </t>
  </si>
  <si>
    <t xml:space="preserve">FORD GREGORY MFCC             </t>
  </si>
  <si>
    <t xml:space="preserve">FORD GREGORY                  </t>
  </si>
  <si>
    <t xml:space="preserve">BRANDON ROBIN MFCC            </t>
  </si>
  <si>
    <t xml:space="preserve">BRANDON ROBI                  </t>
  </si>
  <si>
    <t xml:space="preserve">PATTEE CANDICE MFCC           </t>
  </si>
  <si>
    <t xml:space="preserve">PATEE CANDIC                  </t>
  </si>
  <si>
    <t xml:space="preserve">CHASSON SUSAN MFCC            </t>
  </si>
  <si>
    <t xml:space="preserve">CHASSON SUSA                  </t>
  </si>
  <si>
    <t xml:space="preserve">NOBARI SADEGH MFCC            </t>
  </si>
  <si>
    <t xml:space="preserve">NOBARI SADEG                  </t>
  </si>
  <si>
    <t xml:space="preserve">FAYE JUDITH MFCC              </t>
  </si>
  <si>
    <t xml:space="preserve">FAYE JUDITH                   </t>
  </si>
  <si>
    <t xml:space="preserve">JEDEL REBECCA PHD             </t>
  </si>
  <si>
    <t xml:space="preserve">JEDEL REBECC                  </t>
  </si>
  <si>
    <t xml:space="preserve">DEAN D MORGAN PHD             </t>
  </si>
  <si>
    <t xml:space="preserve">DEAN D MORGA                  </t>
  </si>
  <si>
    <t xml:space="preserve">WHITMAN-FLAMM LINDA PHD       </t>
  </si>
  <si>
    <t xml:space="preserve">WHITMANN FLA                  </t>
  </si>
  <si>
    <t xml:space="preserve">KATZ IRA PHD                  </t>
  </si>
  <si>
    <t xml:space="preserve">KATZ IRA                      </t>
  </si>
  <si>
    <t xml:space="preserve">HOLT LEE PHD                  </t>
  </si>
  <si>
    <t xml:space="preserve">HOLT LEE                      </t>
  </si>
  <si>
    <t xml:space="preserve">CHARLES ASHA MFCC             </t>
  </si>
  <si>
    <t xml:space="preserve">CHARLES ASHA                  </t>
  </si>
  <si>
    <t xml:space="preserve">SAGEWOOD ANNE MFCC            </t>
  </si>
  <si>
    <t xml:space="preserve">SAGEWOOD ANN                  </t>
  </si>
  <si>
    <t xml:space="preserve">OSBURN LINDA MFCC             </t>
  </si>
  <si>
    <t xml:space="preserve">OSBURN LINDA                  </t>
  </si>
  <si>
    <t xml:space="preserve">RIVAS MARIA MFCC              </t>
  </si>
  <si>
    <t xml:space="preserve">RIVAS MARIA                   </t>
  </si>
  <si>
    <t xml:space="preserve">LAUX CORALEE                  </t>
  </si>
  <si>
    <t xml:space="preserve">CROSETTI CLAIRE MFCC          </t>
  </si>
  <si>
    <t xml:space="preserve">CROSETTI CLA                  </t>
  </si>
  <si>
    <t xml:space="preserve">BROWNSON JOHN MFCC            </t>
  </si>
  <si>
    <t xml:space="preserve">BROWNSON JOH                  </t>
  </si>
  <si>
    <t xml:space="preserve">BORK GUINIVERE MFCC           </t>
  </si>
  <si>
    <t xml:space="preserve">BORK GUINIVE                  </t>
  </si>
  <si>
    <t xml:space="preserve">YAFFE DEBORAH MFCC            </t>
  </si>
  <si>
    <t xml:space="preserve">YAFFEE DEBOR                  </t>
  </si>
  <si>
    <t xml:space="preserve">STERLING JENNIFER MFCC        </t>
  </si>
  <si>
    <t xml:space="preserve">STERLING JEN                  </t>
  </si>
  <si>
    <t xml:space="preserve">REED HOLLY MFCC               </t>
  </si>
  <si>
    <t xml:space="preserve">REED HOLLY                    </t>
  </si>
  <si>
    <t xml:space="preserve">SCHAAF MARTIN MFCC            </t>
  </si>
  <si>
    <t xml:space="preserve">SCHAAF MARTI                  </t>
  </si>
  <si>
    <t xml:space="preserve">NEURO PSYCH ALLIANCE GRP      </t>
  </si>
  <si>
    <t xml:space="preserve">NEURO PSY GR                  </t>
  </si>
  <si>
    <t xml:space="preserve">ALLIED PSYCHOLOGICAL SERVICES </t>
  </si>
  <si>
    <t xml:space="preserve">ALLIED PSYCH                  </t>
  </si>
  <si>
    <t xml:space="preserve">COLLINS CHRISTINE MD          </t>
  </si>
  <si>
    <t xml:space="preserve">COLLINSCHRIS                  </t>
  </si>
  <si>
    <t xml:space="preserve">SUTTER-YUBA MENTAL HLTH SRVCS </t>
  </si>
  <si>
    <t xml:space="preserve">SUTTERYUBA                    </t>
  </si>
  <si>
    <t xml:space="preserve">BHC SIERRA VISTA HOSPITAL     </t>
  </si>
  <si>
    <t xml:space="preserve">SIERRA VISTA                  </t>
  </si>
  <si>
    <t xml:space="preserve">CALIFORNIA SPECIALTY HOSPITAL </t>
  </si>
  <si>
    <t xml:space="preserve">CALISPECHOSP                  </t>
  </si>
  <si>
    <t>STANISLAUS COUNTY DEP MNTL HLT</t>
  </si>
  <si>
    <t xml:space="preserve">STANISLAUSCO                  </t>
  </si>
  <si>
    <t xml:space="preserve">BAILEY ANNIE MFCC             </t>
  </si>
  <si>
    <t xml:space="preserve">BAILEY ANNIE                  </t>
  </si>
  <si>
    <t>HUMBOLDT COUNTY MNTL HLTH DEPT</t>
  </si>
  <si>
    <t xml:space="preserve">HUMBOLDTCNTY                  </t>
  </si>
  <si>
    <t>INTEGRATED COUNSEL/CONSULTSRVC</t>
  </si>
  <si>
    <t xml:space="preserve">ICCS                          </t>
  </si>
  <si>
    <t xml:space="preserve">SANTA CLARA VALLEY MNTL HLTH  </t>
  </si>
  <si>
    <t xml:space="preserve">SANTACLARAVA                  </t>
  </si>
  <si>
    <t xml:space="preserve">SHASTA COUNTY MNTL HLTH DEPT  </t>
  </si>
  <si>
    <t xml:space="preserve">SHASTACOUNTY                  </t>
  </si>
  <si>
    <t xml:space="preserve">ST. MARY'S MEDICAL CENTER     </t>
  </si>
  <si>
    <t xml:space="preserve">ST.MARY'S                     </t>
  </si>
  <si>
    <t xml:space="preserve">BLANCO ROBERT MD              </t>
  </si>
  <si>
    <t xml:space="preserve">BLANCOROBERT                  </t>
  </si>
  <si>
    <t xml:space="preserve">TEENS IN CRISIS               </t>
  </si>
  <si>
    <t xml:space="preserve">TEENSNCRISIS                  </t>
  </si>
  <si>
    <t xml:space="preserve">CHARNEY-DANYSH AVA MFCC       </t>
  </si>
  <si>
    <t xml:space="preserve">CHARNEYD AVA                  </t>
  </si>
  <si>
    <t xml:space="preserve">STOKER MARY MFCC              </t>
  </si>
  <si>
    <t xml:space="preserve">STOKER MARY                   </t>
  </si>
  <si>
    <t xml:space="preserve">FALLIN DONALD PHD             </t>
  </si>
  <si>
    <t xml:space="preserve">FALLIN DON                    </t>
  </si>
  <si>
    <t xml:space="preserve">KURKJIAN JAMES PHD            </t>
  </si>
  <si>
    <t xml:space="preserve">KURKJIANJAME                  </t>
  </si>
  <si>
    <t xml:space="preserve">DENNY LISA LCSW               </t>
  </si>
  <si>
    <t xml:space="preserve">DENNY LISA                    </t>
  </si>
  <si>
    <t xml:space="preserve">DEMELLO JOHN LCSW             </t>
  </si>
  <si>
    <t xml:space="preserve">DEMELLO JOHN                  </t>
  </si>
  <si>
    <t xml:space="preserve">GARMA FELIZA MD               </t>
  </si>
  <si>
    <t xml:space="preserve">GARMA FELIZA                  </t>
  </si>
  <si>
    <t xml:space="preserve">HAMEL JOHN LCSW               </t>
  </si>
  <si>
    <t xml:space="preserve">HAMEL JOHN                    </t>
  </si>
  <si>
    <t xml:space="preserve">HENNIGAN PATRICIA PHD         </t>
  </si>
  <si>
    <t xml:space="preserve">HENNIGAN PAT                  </t>
  </si>
  <si>
    <t xml:space="preserve">KHANKHANIAN MOIEZ MD          </t>
  </si>
  <si>
    <t xml:space="preserve">KHANKHANIAN                   </t>
  </si>
  <si>
    <t xml:space="preserve">LEWIS MEARLE MD               </t>
  </si>
  <si>
    <t xml:space="preserve">LEWIS MEARLE                  </t>
  </si>
  <si>
    <t xml:space="preserve">POWERS MARK MD                </t>
  </si>
  <si>
    <t xml:space="preserve">POWERS MARK                   </t>
  </si>
  <si>
    <t xml:space="preserve">ROBERTS JODY MFCC             </t>
  </si>
  <si>
    <t xml:space="preserve">ROBERTS JODY                  </t>
  </si>
  <si>
    <t xml:space="preserve">ROGERS DEBORAH MFCC           </t>
  </si>
  <si>
    <t xml:space="preserve">ROGERS DEB                    </t>
  </si>
  <si>
    <t xml:space="preserve">WANG XIN MD                   </t>
  </si>
  <si>
    <t xml:space="preserve">WANG XIN                      </t>
  </si>
  <si>
    <t xml:space="preserve">W OAKLAND ACHIEVERS PROGRAM   </t>
  </si>
  <si>
    <t xml:space="preserve">WOAKL ACHIEV                  </t>
  </si>
  <si>
    <t xml:space="preserve">BARTE OPHELIA MD              </t>
  </si>
  <si>
    <t xml:space="preserve">BARTEOPHELIA                  </t>
  </si>
  <si>
    <t xml:space="preserve">SABEN LAWRENCE MD             </t>
  </si>
  <si>
    <t xml:space="preserve">SABENLAWRENC                  </t>
  </si>
  <si>
    <t xml:space="preserve">GRIMLEY MARGARET              </t>
  </si>
  <si>
    <t xml:space="preserve">GRIMLEY MARG                  </t>
  </si>
  <si>
    <t xml:space="preserve">VALDEZ-KAMINSKY ETI MFCC      </t>
  </si>
  <si>
    <t xml:space="preserve">VALDEZ-KAMIN                  </t>
  </si>
  <si>
    <t xml:space="preserve">YATES KRIS MFCC               </t>
  </si>
  <si>
    <t xml:space="preserve">YATES KRIS                    </t>
  </si>
  <si>
    <t xml:space="preserve">FORREST NATALIE MFCC          </t>
  </si>
  <si>
    <t xml:space="preserve">FORREST NAT                   </t>
  </si>
  <si>
    <t xml:space="preserve">BARNHART KATHRYN MFCC         </t>
  </si>
  <si>
    <t xml:space="preserve">BARNHART KAT                  </t>
  </si>
  <si>
    <t xml:space="preserve">GAISER PAUL MFCC              </t>
  </si>
  <si>
    <t xml:space="preserve">GAISER PAUL                   </t>
  </si>
  <si>
    <t xml:space="preserve">LITTELL CARY PHD              </t>
  </si>
  <si>
    <t xml:space="preserve">LITTELL CARY                  </t>
  </si>
  <si>
    <t xml:space="preserve">MEYER KENNETH PHD             </t>
  </si>
  <si>
    <t xml:space="preserve">MEYER KEN                     </t>
  </si>
  <si>
    <t xml:space="preserve">RAZZANO THERESA A MFCC        </t>
  </si>
  <si>
    <t xml:space="preserve">RAZZANOTHERE                  </t>
  </si>
  <si>
    <t xml:space="preserve">LENROW LAURIE LCSW            </t>
  </si>
  <si>
    <t xml:space="preserve">LENROWLAURIE                  </t>
  </si>
  <si>
    <t>ALAMEDA FAM SRV CHIPMAN SCH CH</t>
  </si>
  <si>
    <t xml:space="preserve">ALAFAMSVCHIP                  </t>
  </si>
  <si>
    <t>ALAMEDA FAM SRV LINCOLN SCH CH</t>
  </si>
  <si>
    <t xml:space="preserve">ALAFAMSVLINC                  </t>
  </si>
  <si>
    <t xml:space="preserve">XANTHOS WASHINGTON SCH MHS CH </t>
  </si>
  <si>
    <t xml:space="preserve">XANTHOS WASH                  </t>
  </si>
  <si>
    <t xml:space="preserve">XANTHOS WOOD SCHOOL MHS CH    </t>
  </si>
  <si>
    <t xml:space="preserve">XANTHOS WOOD                  </t>
  </si>
  <si>
    <t>CSS MENDENHALL SCH DAY RHAB FL</t>
  </si>
  <si>
    <t xml:space="preserve">CSS MEND DAY                  </t>
  </si>
  <si>
    <t xml:space="preserve">CSS MENDENHALL SCH MHS CHILD  </t>
  </si>
  <si>
    <t xml:space="preserve">CSS MEND MHS                  </t>
  </si>
  <si>
    <t>CSS DUBLIN SCH DAY REHAB FL CH</t>
  </si>
  <si>
    <t xml:space="preserve">CSS DUBL DAY                  </t>
  </si>
  <si>
    <t xml:space="preserve">CSS DUBLIN SCHOOL MHS CHILD   </t>
  </si>
  <si>
    <t xml:space="preserve">CSS DUBL MHS                  </t>
  </si>
  <si>
    <t xml:space="preserve">JGP CRISIS RESPONSE PRGM MHS  </t>
  </si>
  <si>
    <t xml:space="preserve">JGP CRISIS                    </t>
  </si>
  <si>
    <t xml:space="preserve">NO CO CRISIS RESP PRGM MHS AD </t>
  </si>
  <si>
    <t xml:space="preserve">NO CO CRISIS                  </t>
  </si>
  <si>
    <t>TELECARE GLADMAN MHRC SHRTSTAY</t>
  </si>
  <si>
    <t xml:space="preserve">GLADMAN SS                    </t>
  </si>
  <si>
    <t xml:space="preserve">VERNON STEPHEN MFCC           </t>
  </si>
  <si>
    <t xml:space="preserve">VERNON STEPH                  </t>
  </si>
  <si>
    <t xml:space="preserve">KVIKSTAD CATHERINE MFCC       </t>
  </si>
  <si>
    <t xml:space="preserve">KVIKSTAD CAT                  </t>
  </si>
  <si>
    <t xml:space="preserve">KULLY LISA MFCC               </t>
  </si>
  <si>
    <t xml:space="preserve">KULLY LISA                    </t>
  </si>
  <si>
    <t xml:space="preserve">CASTRO LEONICIA MFCC          </t>
  </si>
  <si>
    <t xml:space="preserve">CASTRO LEONI                  </t>
  </si>
  <si>
    <t xml:space="preserve">LUKEN PATRICIA MFCC           </t>
  </si>
  <si>
    <t xml:space="preserve">LUKEN PAT                     </t>
  </si>
  <si>
    <t xml:space="preserve">COOK JAMES MFCC               </t>
  </si>
  <si>
    <t xml:space="preserve">COOK JAMES                    </t>
  </si>
  <si>
    <t xml:space="preserve">CORYELL SHERYL MFCC           </t>
  </si>
  <si>
    <t xml:space="preserve">CORYELLSHERY                  </t>
  </si>
  <si>
    <t xml:space="preserve">HAASE SHARON MFCC             </t>
  </si>
  <si>
    <t xml:space="preserve">HAASE SHARON                  </t>
  </si>
  <si>
    <t xml:space="preserve">SPICA M JANE MFCC             </t>
  </si>
  <si>
    <t xml:space="preserve">SPICA M JANE                  </t>
  </si>
  <si>
    <t xml:space="preserve">CLOPTON JAMES MD              </t>
  </si>
  <si>
    <t xml:space="preserve">CLOPTONJAMES                  </t>
  </si>
  <si>
    <t xml:space="preserve">BALCOS ENRICO MD              </t>
  </si>
  <si>
    <t xml:space="preserve">BALCOSENRICO                  </t>
  </si>
  <si>
    <t xml:space="preserve">ABJELINA KENNETH MD           </t>
  </si>
  <si>
    <t xml:space="preserve">ABJELINA KEN                  </t>
  </si>
  <si>
    <t xml:space="preserve">MAHONEY ALVIN MD              </t>
  </si>
  <si>
    <t xml:space="preserve">MAHONEY AL                    </t>
  </si>
  <si>
    <t xml:space="preserve">FARRAG HASSAN MD              </t>
  </si>
  <si>
    <t xml:space="preserve">FARRAGHASSAN                  </t>
  </si>
  <si>
    <t xml:space="preserve">EALEY MARK LCSW               </t>
  </si>
  <si>
    <t xml:space="preserve">EALEY MARK                    </t>
  </si>
  <si>
    <t xml:space="preserve">DANIEL CAROLYN LCSW           </t>
  </si>
  <si>
    <t xml:space="preserve">DANIEL CAROL                  </t>
  </si>
  <si>
    <t xml:space="preserve">BAY AREA CHILDREN FIRST PRG   </t>
  </si>
  <si>
    <t xml:space="preserve">BAYCHILDFIRS                  </t>
  </si>
  <si>
    <t xml:space="preserve">TELECARE SAUSAL CREEK OP STAB </t>
  </si>
  <si>
    <t xml:space="preserve">SAUSAL OP ST                  </t>
  </si>
  <si>
    <t xml:space="preserve">ASIAN ACHIEVERS PROGRAM       </t>
  </si>
  <si>
    <t xml:space="preserve">ASIAN ACHIEV                  </t>
  </si>
  <si>
    <t xml:space="preserve">HAUGABOOK PHYLLIS MFCC        </t>
  </si>
  <si>
    <t xml:space="preserve">HAUGABOOK P                   </t>
  </si>
  <si>
    <t xml:space="preserve">YATES GILLAAN MFC             </t>
  </si>
  <si>
    <t xml:space="preserve">YATESGILLAAN                  </t>
  </si>
  <si>
    <t xml:space="preserve">BEYER YVONNE MFCC             </t>
  </si>
  <si>
    <t xml:space="preserve">BEYER YVONNE                  </t>
  </si>
  <si>
    <t xml:space="preserve">LUE VENITA MFCC               </t>
  </si>
  <si>
    <t xml:space="preserve">LUE VENITA                    </t>
  </si>
  <si>
    <t xml:space="preserve">SANDEEN KAREN MFCC            </t>
  </si>
  <si>
    <t xml:space="preserve">SANDEEN KARN                  </t>
  </si>
  <si>
    <t xml:space="preserve">BRAUNGARDT JURGEN MFCC        </t>
  </si>
  <si>
    <t xml:space="preserve">BRAUNGARDT J                  </t>
  </si>
  <si>
    <t xml:space="preserve">ATHEY KENNETH MFCC            </t>
  </si>
  <si>
    <t xml:space="preserve">ATHEY KEN                     </t>
  </si>
  <si>
    <t xml:space="preserve">OWEN MARY MFCC                </t>
  </si>
  <si>
    <t xml:space="preserve">OWEN MARY                     </t>
  </si>
  <si>
    <t xml:space="preserve">BRIAN GREGORY MFCC            </t>
  </si>
  <si>
    <t xml:space="preserve">BRIAN GREG                    </t>
  </si>
  <si>
    <t xml:space="preserve">STERN LISE MFCC               </t>
  </si>
  <si>
    <t xml:space="preserve">STERN LISE                    </t>
  </si>
  <si>
    <t xml:space="preserve">YEE CONNIE MFCC               </t>
  </si>
  <si>
    <t xml:space="preserve">YEE CONNIE                    </t>
  </si>
  <si>
    <t xml:space="preserve">CARTER BRENT PHD              </t>
  </si>
  <si>
    <t xml:space="preserve">CARTER BRENT                  </t>
  </si>
  <si>
    <t xml:space="preserve">FERRARA LEONARD PHD           </t>
  </si>
  <si>
    <t xml:space="preserve">FERRARA LEN                   </t>
  </si>
  <si>
    <t xml:space="preserve">FRUGE SHAWN PHD               </t>
  </si>
  <si>
    <t xml:space="preserve">FRUGE SHAWN                   </t>
  </si>
  <si>
    <t xml:space="preserve">SNYDER PHILLIP PHD            </t>
  </si>
  <si>
    <t xml:space="preserve">SNYDER PHIL                   </t>
  </si>
  <si>
    <t xml:space="preserve">ABRAHAM DEEPA PHD             </t>
  </si>
  <si>
    <t xml:space="preserve">ABRAHAM DEPA                  </t>
  </si>
  <si>
    <t xml:space="preserve">MACFARLAND PHILLIP PHD        </t>
  </si>
  <si>
    <t xml:space="preserve">MACFARLAND P                  </t>
  </si>
  <si>
    <t xml:space="preserve">SIMS G PRESTON PHD            </t>
  </si>
  <si>
    <t xml:space="preserve">SIMSGPRESTON                  </t>
  </si>
  <si>
    <t xml:space="preserve">MCNEEL WAKELIN MD             </t>
  </si>
  <si>
    <t xml:space="preserve">MCNEEL WAKEL                  </t>
  </si>
  <si>
    <t xml:space="preserve">ASKINS HOWARD MD              </t>
  </si>
  <si>
    <t xml:space="preserve">ASKINS HOWRD                  </t>
  </si>
  <si>
    <t xml:space="preserve">EISENBUD MONIKA MD            </t>
  </si>
  <si>
    <t xml:space="preserve">EISENBUD MON                  </t>
  </si>
  <si>
    <t xml:space="preserve">LEVINSON MICHAEL MD           </t>
  </si>
  <si>
    <t xml:space="preserve">LEVINSONMIKE                  </t>
  </si>
  <si>
    <t xml:space="preserve">VALENCERINA MADELEINE MD      </t>
  </si>
  <si>
    <t xml:space="preserve">VALENCERINA                   </t>
  </si>
  <si>
    <t xml:space="preserve">PILLAI DHARMAPALAN MD         </t>
  </si>
  <si>
    <t xml:space="preserve">PILLAIDHARMA                  </t>
  </si>
  <si>
    <t xml:space="preserve">MARLOW PATRICIA LCSW          </t>
  </si>
  <si>
    <t xml:space="preserve">MARLOW PAT                    </t>
  </si>
  <si>
    <t xml:space="preserve">ROBERTS TANYA LCSW            </t>
  </si>
  <si>
    <t xml:space="preserve">ROBERTSTANYA                  </t>
  </si>
  <si>
    <t xml:space="preserve">JACKA KAREN LCSW              </t>
  </si>
  <si>
    <t xml:space="preserve">JACKA KAREN                   </t>
  </si>
  <si>
    <t xml:space="preserve">BASS SHARON PHD               </t>
  </si>
  <si>
    <t xml:space="preserve">BASS SHARON                   </t>
  </si>
  <si>
    <t xml:space="preserve">MAGUIRE NANCY PHD             </t>
  </si>
  <si>
    <t xml:space="preserve">MAGUIRE NANC                  </t>
  </si>
  <si>
    <t xml:space="preserve">CLARKSON ANN MFCC             </t>
  </si>
  <si>
    <t xml:space="preserve">CLARKSON ANN                  </t>
  </si>
  <si>
    <t xml:space="preserve">PARKER CHARLOTTE MFCC         </t>
  </si>
  <si>
    <t xml:space="preserve">PARKER CHAR                   </t>
  </si>
  <si>
    <t xml:space="preserve">SCHMIDT REGINA MFCC           </t>
  </si>
  <si>
    <t xml:space="preserve">SCHMIDT GINA                  </t>
  </si>
  <si>
    <t xml:space="preserve">KAIR IN-HOME SOCIAL SRVCS GRP </t>
  </si>
  <si>
    <t xml:space="preserve">KAIR IN-HOME                  </t>
  </si>
  <si>
    <t xml:space="preserve">DAVIS STREET COMMUN CNTR PRG  </t>
  </si>
  <si>
    <t xml:space="preserve">DAVIS STREET                  </t>
  </si>
  <si>
    <t xml:space="preserve">CLAYTON ANNA MFCC             </t>
  </si>
  <si>
    <t xml:space="preserve">CLAYTON ANNA                  </t>
  </si>
  <si>
    <t xml:space="preserve">DUKE ROGER MFCC               </t>
  </si>
  <si>
    <t xml:space="preserve">DUKE ROGER                    </t>
  </si>
  <si>
    <t xml:space="preserve">RUFF CHARLIE MFCC             </t>
  </si>
  <si>
    <t xml:space="preserve">RUFF CHARLIE                  </t>
  </si>
  <si>
    <t xml:space="preserve">STALLINGS ROXANNE MFCC        </t>
  </si>
  <si>
    <t xml:space="preserve">STALLINGSROX                  </t>
  </si>
  <si>
    <t xml:space="preserve">BAKER SARAH LCSW              </t>
  </si>
  <si>
    <t xml:space="preserve">BAKER SARAH                   </t>
  </si>
  <si>
    <t xml:space="preserve">SUGARMAN SUSAN LCSW           </t>
  </si>
  <si>
    <t xml:space="preserve">SUGARMANSUSA                  </t>
  </si>
  <si>
    <t xml:space="preserve">LAGUE MARY PHD                </t>
  </si>
  <si>
    <t xml:space="preserve">LAGUE MARY                    </t>
  </si>
  <si>
    <t xml:space="preserve">BARLEY LEONARD MD             </t>
  </si>
  <si>
    <t xml:space="preserve">BARLEY LEN                    </t>
  </si>
  <si>
    <t xml:space="preserve">FRATINI ADRIENNE MD           </t>
  </si>
  <si>
    <t xml:space="preserve">FRATINI ADR                   </t>
  </si>
  <si>
    <t xml:space="preserve">PHUN KENNETH MD               </t>
  </si>
  <si>
    <t xml:space="preserve">PHUN KEN                      </t>
  </si>
  <si>
    <t xml:space="preserve">ROSS CRAIG A MD               </t>
  </si>
  <si>
    <t xml:space="preserve">ROSS CRAIG                    </t>
  </si>
  <si>
    <t xml:space="preserve">WILHITE MARGUERITE R LCSW     </t>
  </si>
  <si>
    <t xml:space="preserve">WILHITE MARG                  </t>
  </si>
  <si>
    <t xml:space="preserve">OREPER ARKADY MD              </t>
  </si>
  <si>
    <t xml:space="preserve">OREPER ARKAD                  </t>
  </si>
  <si>
    <t xml:space="preserve">KUGEL SAMUEL MD               </t>
  </si>
  <si>
    <t xml:space="preserve">KUGEL SAMUEL                  </t>
  </si>
  <si>
    <t xml:space="preserve">SHANAHAN JEAN M MFT           </t>
  </si>
  <si>
    <t xml:space="preserve">SHANAHAN JEA                  </t>
  </si>
  <si>
    <t xml:space="preserve">CAPPEL LARRY R MFT            </t>
  </si>
  <si>
    <t xml:space="preserve">CAPPEL LARRY                  </t>
  </si>
  <si>
    <t xml:space="preserve">MACMILLAN MEGAN L MFT         </t>
  </si>
  <si>
    <t xml:space="preserve">MACMILLAN ME                  </t>
  </si>
  <si>
    <t xml:space="preserve">HANCOCK NANNETTE B MFT        </t>
  </si>
  <si>
    <t xml:space="preserve">HANCOCK NANN                  </t>
  </si>
  <si>
    <t xml:space="preserve">KESLER PAMELA J               </t>
  </si>
  <si>
    <t xml:space="preserve">KESLER PAMEL                  </t>
  </si>
  <si>
    <t xml:space="preserve">FOSTER SUSAN J MFT            </t>
  </si>
  <si>
    <t xml:space="preserve">FOSTER SUSAN                  </t>
  </si>
  <si>
    <t xml:space="preserve">ROUSSEL LOUIS J PHD           </t>
  </si>
  <si>
    <t xml:space="preserve">ROUSSEL LOUI                  </t>
  </si>
  <si>
    <t xml:space="preserve">SOLTANI SOPHIE PHD            </t>
  </si>
  <si>
    <t xml:space="preserve">SOLTANI SOPH                  </t>
  </si>
  <si>
    <t xml:space="preserve">ALLIED PSYCHOLOGY GROUP INC   </t>
  </si>
  <si>
    <t xml:space="preserve">ALLIED P GRP                  </t>
  </si>
  <si>
    <t xml:space="preserve">GILANI AKBAR MD               </t>
  </si>
  <si>
    <t xml:space="preserve">GILANI AKBAR                  </t>
  </si>
  <si>
    <t xml:space="preserve">CHAFFEE JON F MD              </t>
  </si>
  <si>
    <t xml:space="preserve">CHAFFEE JON                   </t>
  </si>
  <si>
    <t xml:space="preserve">HOLMGREN KATHLEEN A MFT       </t>
  </si>
  <si>
    <t xml:space="preserve">HOLMGREN KAT                  </t>
  </si>
  <si>
    <t xml:space="preserve">FRERKING LAURA A MFT          </t>
  </si>
  <si>
    <t xml:space="preserve">FRERKING LAU                  </t>
  </si>
  <si>
    <t xml:space="preserve">STEIN MARY E MFT              </t>
  </si>
  <si>
    <t xml:space="preserve">STEIN MARY                    </t>
  </si>
  <si>
    <t xml:space="preserve">ELDEN MONICA G MFT            </t>
  </si>
  <si>
    <t xml:space="preserve">ELDEN MONICA                  </t>
  </si>
  <si>
    <t xml:space="preserve">CELNIKER DAVID A PHD          </t>
  </si>
  <si>
    <t xml:space="preserve">CELNIKER DAV                  </t>
  </si>
  <si>
    <t xml:space="preserve">TELECARE CHANGES AD INACTIVE  </t>
  </si>
  <si>
    <t xml:space="preserve">CHANGESINACT                  </t>
  </si>
  <si>
    <t xml:space="preserve">BOSS SOUTH CO MEDICATION ONLY </t>
  </si>
  <si>
    <t xml:space="preserve">BOSS SOCO ME                  </t>
  </si>
  <si>
    <t xml:space="preserve">BOSS OAKLAND MEDICATION ONLY  </t>
  </si>
  <si>
    <t xml:space="preserve">BOSS OAK MED                  </t>
  </si>
  <si>
    <t xml:space="preserve">GREEN-FRUGE ALEXIS N          </t>
  </si>
  <si>
    <t xml:space="preserve">GREEN-FRUGE                   </t>
  </si>
  <si>
    <t xml:space="preserve">OXSEN KATHY                   </t>
  </si>
  <si>
    <t xml:space="preserve">LIDDELL LYNN M                </t>
  </si>
  <si>
    <t xml:space="preserve">LIDDELL LYNN                  </t>
  </si>
  <si>
    <t xml:space="preserve">SWABACK DWIGHT                </t>
  </si>
  <si>
    <t xml:space="preserve">SWABACK DWIG                  </t>
  </si>
  <si>
    <t xml:space="preserve">SENECA LAFLECHE SCH MHS CHILD </t>
  </si>
  <si>
    <t xml:space="preserve">SENECA LAFLE                  </t>
  </si>
  <si>
    <t>SENECA ARLINGTON DAY INT CHILD</t>
  </si>
  <si>
    <t xml:space="preserve">SENECA ARLIN                  </t>
  </si>
  <si>
    <t xml:space="preserve">HOLDEN MARIA T                </t>
  </si>
  <si>
    <t xml:space="preserve">HOLDEN MARIA                  </t>
  </si>
  <si>
    <t>STARS COMM SVCS CTR DAY INT CH</t>
  </si>
  <si>
    <t xml:space="preserve">STARS COM DY                  </t>
  </si>
  <si>
    <t xml:space="preserve">ROMAN CARMEN                  </t>
  </si>
  <si>
    <t xml:space="preserve">GIANULIAS ANNA                </t>
  </si>
  <si>
    <t xml:space="preserve">GIANULIAS AN                  </t>
  </si>
  <si>
    <t xml:space="preserve">GOSS GLENN E                  </t>
  </si>
  <si>
    <t xml:space="preserve">GOSS GLENN                    </t>
  </si>
  <si>
    <t xml:space="preserve">SRP - ROYAL COLONY VIEW PLACE </t>
  </si>
  <si>
    <t xml:space="preserve">SRP ROYAL CO                  </t>
  </si>
  <si>
    <t xml:space="preserve">DIERKES LEISA L               </t>
  </si>
  <si>
    <t xml:space="preserve">DIERKES LEIS                  </t>
  </si>
  <si>
    <t xml:space="preserve">HARRIS-THOMAS D STACIE        </t>
  </si>
  <si>
    <t xml:space="preserve">HARRIS-THOMA                  </t>
  </si>
  <si>
    <t xml:space="preserve">LEFORT DEBANEY G              </t>
  </si>
  <si>
    <t xml:space="preserve">LEFORT DEBAN                  </t>
  </si>
  <si>
    <t xml:space="preserve">PFISTER CATHERINE A           </t>
  </si>
  <si>
    <t xml:space="preserve">PFISTER CATH                  </t>
  </si>
  <si>
    <t xml:space="preserve">RODRIGUES NINA R              </t>
  </si>
  <si>
    <t xml:space="preserve">RODRIGUES NI                  </t>
  </si>
  <si>
    <t xml:space="preserve">THOMAS TERESA E               </t>
  </si>
  <si>
    <t xml:space="preserve">THOMAS TERES                  </t>
  </si>
  <si>
    <t xml:space="preserve">TILLY ANDREA M                </t>
  </si>
  <si>
    <t xml:space="preserve">TILLY ANDREA                  </t>
  </si>
  <si>
    <t>CHILDREN'S HOSP CRISIS STAB CH</t>
  </si>
  <si>
    <t xml:space="preserve">CHO CRISIS S                  </t>
  </si>
  <si>
    <t>E BAY COM REC PROJ DY REH HALF</t>
  </si>
  <si>
    <t xml:space="preserve">EBCRP HALFDY                  </t>
  </si>
  <si>
    <t xml:space="preserve">SENECA FREM INT FULL DY CH    </t>
  </si>
  <si>
    <t xml:space="preserve">SENECA FREM                   </t>
  </si>
  <si>
    <t xml:space="preserve">SENECA ELMHURST SCH REH FL CH </t>
  </si>
  <si>
    <t xml:space="preserve">SENECA ELMH                   </t>
  </si>
  <si>
    <t xml:space="preserve">SENECA LONGWOOD SCH REH FL CH </t>
  </si>
  <si>
    <t xml:space="preserve">SENECA LGWOD                  </t>
  </si>
  <si>
    <t>SENECA CESAR CHAVEZ SCH REH CH</t>
  </si>
  <si>
    <t xml:space="preserve">SENECA CCSCH                  </t>
  </si>
  <si>
    <t>SENECA MT EDEN SCH REH FULL CH</t>
  </si>
  <si>
    <t xml:space="preserve">SENECA MTED                   </t>
  </si>
  <si>
    <t>ALAMEDA FAM SRV ALAMEDA SCH CH</t>
  </si>
  <si>
    <t xml:space="preserve">ALAFAMSV ALA                  </t>
  </si>
  <si>
    <t>ALAMEDA FAM SRV ENCINAL SCH CH</t>
  </si>
  <si>
    <t xml:space="preserve">ALAFAMSVENCL                  </t>
  </si>
  <si>
    <t xml:space="preserve">UCSF CTR DEAFNESS MHS ADULT   </t>
  </si>
  <si>
    <t xml:space="preserve">UCSF DFADULT                  </t>
  </si>
  <si>
    <t xml:space="preserve">UCSF CTR DEAFNESS MHS CHILD   </t>
  </si>
  <si>
    <t xml:space="preserve">UCSF DFCHILD                  </t>
  </si>
  <si>
    <t xml:space="preserve">EBAC BLACOW SCH MHS CHILD     </t>
  </si>
  <si>
    <t xml:space="preserve">EBAC BLACOW                   </t>
  </si>
  <si>
    <t xml:space="preserve">EBAC HARVEY GREEN SCH MHS CH  </t>
  </si>
  <si>
    <t xml:space="preserve">EBAC HVYGRN                   </t>
  </si>
  <si>
    <t xml:space="preserve">EBAC DURHAM SCH MH CHILD      </t>
  </si>
  <si>
    <t xml:space="preserve">EBAC DURHAM                   </t>
  </si>
  <si>
    <t xml:space="preserve">EBAC CABRILLO SCH MHS CHILD   </t>
  </si>
  <si>
    <t xml:space="preserve">EBAC CABRILO                  </t>
  </si>
  <si>
    <t xml:space="preserve">CHAA MHS CHILD                </t>
  </si>
  <si>
    <t xml:space="preserve">CHAA CH                       </t>
  </si>
  <si>
    <t xml:space="preserve">CHAA GARFIELD SCH             </t>
  </si>
  <si>
    <t xml:space="preserve">CHAA GARF                     </t>
  </si>
  <si>
    <t xml:space="preserve">CHAA LINCOLN SCH MHCH         </t>
  </si>
  <si>
    <t xml:space="preserve">CHAA LINC                     </t>
  </si>
  <si>
    <t xml:space="preserve">CHAA BVISTA MHS CHILD         </t>
  </si>
  <si>
    <t xml:space="preserve">CHAA BVST                     </t>
  </si>
  <si>
    <t xml:space="preserve">CHAA EBREWER SCH MHCH         </t>
  </si>
  <si>
    <t xml:space="preserve">CHAA EBRW                     </t>
  </si>
  <si>
    <t xml:space="preserve">ASIAN PACIFIC WESTLAKE SCH    </t>
  </si>
  <si>
    <t xml:space="preserve">ASN PAC WLAK                  </t>
  </si>
  <si>
    <t>ASIAN PACIFIC ALVRADO SCH MHCH</t>
  </si>
  <si>
    <t xml:space="preserve">ASN PAC ALVR                  </t>
  </si>
  <si>
    <t xml:space="preserve">CHAA OAKLAND HS MH CH         </t>
  </si>
  <si>
    <t xml:space="preserve">CHAA OKHS                     </t>
  </si>
  <si>
    <t>ASIAN PACIFIC OAKTECH HS MH CH</t>
  </si>
  <si>
    <t xml:space="preserve">ASNPAC OKTEC                  </t>
  </si>
  <si>
    <t>ASIAN PACIFIC FREMONT HS MH CH</t>
  </si>
  <si>
    <t xml:space="preserve">ASN PAC FRE                   </t>
  </si>
  <si>
    <t>LINCOLN EPSDT SANTAFE SCH MH C</t>
  </si>
  <si>
    <t xml:space="preserve">LIN EPSDTSFE                  </t>
  </si>
  <si>
    <t>LINCOLN EPSDT ESPE/DISC SCH MH</t>
  </si>
  <si>
    <t xml:space="preserve">LIN ESP/DISC                  </t>
  </si>
  <si>
    <t>LINCOLN EPSDT LAUREL SCH MH CH</t>
  </si>
  <si>
    <t xml:space="preserve">LIN EPS LAUR                  </t>
  </si>
  <si>
    <t>LINCOLN EPSDT FRUITVALE SCH MH</t>
  </si>
  <si>
    <t xml:space="preserve">LIN EPS FRUT                  </t>
  </si>
  <si>
    <t>LINCOLN EPSDT CARTER SCH MH CH</t>
  </si>
  <si>
    <t xml:space="preserve">LIN EPS CART                  </t>
  </si>
  <si>
    <t>LINCOLN EPSDT HOOVER SCH MH CH</t>
  </si>
  <si>
    <t xml:space="preserve">LIN EPS HOVR                  </t>
  </si>
  <si>
    <t xml:space="preserve">KWANELE BABALWA I MFT         </t>
  </si>
  <si>
    <t xml:space="preserve">KWANELE BABA                  </t>
  </si>
  <si>
    <t xml:space="preserve">AVERY LINDA C                 </t>
  </si>
  <si>
    <t xml:space="preserve">AVERY LINDA                   </t>
  </si>
  <si>
    <t xml:space="preserve">BONILLA  BURKE J              </t>
  </si>
  <si>
    <t xml:space="preserve">BONILLA BURK                  </t>
  </si>
  <si>
    <t xml:space="preserve">CANEPA ANITA G.               </t>
  </si>
  <si>
    <t xml:space="preserve">CANEPA ANITA                  </t>
  </si>
  <si>
    <t xml:space="preserve">NICHOLS CAMILLE               </t>
  </si>
  <si>
    <t xml:space="preserve">NICHOLS CAMI                  </t>
  </si>
  <si>
    <t xml:space="preserve">PEUSE MARIA T                 </t>
  </si>
  <si>
    <t xml:space="preserve">PEUSE MARIA                   </t>
  </si>
  <si>
    <t xml:space="preserve">STEINBACH KENNETH A           </t>
  </si>
  <si>
    <t xml:space="preserve">STEINBACH K                   </t>
  </si>
  <si>
    <t xml:space="preserve">WHITTAKER RUE H               </t>
  </si>
  <si>
    <t xml:space="preserve">WHITTAKER R                   </t>
  </si>
  <si>
    <t>EBAC B WHITE SCH DY INT FUL CH</t>
  </si>
  <si>
    <t xml:space="preserve">EBAC WHTE IF                  </t>
  </si>
  <si>
    <t>Model Medicare Master Prototyp</t>
  </si>
  <si>
    <t xml:space="preserve">MODELMCARE                    </t>
  </si>
  <si>
    <t xml:space="preserve">MODEL MEDICARE MEDS MASTER    </t>
  </si>
  <si>
    <t xml:space="preserve">MODMCAREMEDS                  </t>
  </si>
  <si>
    <t xml:space="preserve">GILLESPIE WILLIAM MD          </t>
  </si>
  <si>
    <t xml:space="preserve">WILLGILLESPI                  </t>
  </si>
  <si>
    <t xml:space="preserve">RUTTENBERG BRENDA PHD         </t>
  </si>
  <si>
    <t xml:space="preserve">RUTTENBERG B                  </t>
  </si>
  <si>
    <t xml:space="preserve">ROSELAREN HEATHER LCSW        </t>
  </si>
  <si>
    <t xml:space="preserve">ROSELAREN H                   </t>
  </si>
  <si>
    <t xml:space="preserve">BAKER ARTHUR MFCC             </t>
  </si>
  <si>
    <t xml:space="preserve">BAKER ART                     </t>
  </si>
  <si>
    <t xml:space="preserve">TARKINGTON MICHELE MFCC       </t>
  </si>
  <si>
    <t xml:space="preserve">TARKINGTON M                  </t>
  </si>
  <si>
    <t xml:space="preserve">TAYLEUR DEBRA MFCC            </t>
  </si>
  <si>
    <t xml:space="preserve">TAYLEUR DEB                   </t>
  </si>
  <si>
    <t xml:space="preserve">HOGELAND ANNEKE MFCC          </t>
  </si>
  <si>
    <t xml:space="preserve">HOGELAND ANN                  </t>
  </si>
  <si>
    <t>CHILDREN'S LEARNING CTR DY REH</t>
  </si>
  <si>
    <t xml:space="preserve">CLC DAY REH                   </t>
  </si>
  <si>
    <t>THE PHILLIPS ACADEMY MHS CHILD</t>
  </si>
  <si>
    <t xml:space="preserve">PHILLIPS MHS                  </t>
  </si>
  <si>
    <t xml:space="preserve">STARS TY FOSTERCARE MHS CHILD </t>
  </si>
  <si>
    <t xml:space="preserve">STARS TYFOST                  </t>
  </si>
  <si>
    <t xml:space="preserve">CHILDREN'S LEARNING CENTER ES </t>
  </si>
  <si>
    <t xml:space="preserve">CLC ESCH MHS                  </t>
  </si>
  <si>
    <t xml:space="preserve">MEDS ONLY MCARE ADDITIONS     </t>
  </si>
  <si>
    <t xml:space="preserve">MEDS ONLY AD                  </t>
  </si>
  <si>
    <t>WEST COAST FYDP/IMTS MHS CHILD</t>
  </si>
  <si>
    <t xml:space="preserve">WCOAST FYDP                   </t>
  </si>
  <si>
    <t>WEST COAST MARCUS FSTR SCH MHS</t>
  </si>
  <si>
    <t xml:space="preserve">WCOAST MF0ST                  </t>
  </si>
  <si>
    <t xml:space="preserve">PRATT JAMES PHD               </t>
  </si>
  <si>
    <t xml:space="preserve">PRATT JAMES                   </t>
  </si>
  <si>
    <t xml:space="preserve">COWAN HONEY MFCC              </t>
  </si>
  <si>
    <t xml:space="preserve">COWAN HONEY                   </t>
  </si>
  <si>
    <t>RIDING HIGH EQUESTRIAN PROGRAM</t>
  </si>
  <si>
    <t xml:space="preserve">RIDING HIGH                   </t>
  </si>
  <si>
    <t xml:space="preserve">CARUSO CAROL PHD              </t>
  </si>
  <si>
    <t xml:space="preserve">CARUSO CAROL                  </t>
  </si>
  <si>
    <t xml:space="preserve">CONNELL LESLIE MFCC           </t>
  </si>
  <si>
    <t xml:space="preserve">CONNELL LESL                  </t>
  </si>
  <si>
    <t xml:space="preserve">CANTRELL SANDRA MFCC          </t>
  </si>
  <si>
    <t xml:space="preserve">CANTRELL SAN                  </t>
  </si>
  <si>
    <t xml:space="preserve">CATLIN LAURA PHD              </t>
  </si>
  <si>
    <t xml:space="preserve">CATLIN LAURA                  </t>
  </si>
  <si>
    <t xml:space="preserve">MARTZ JEFFREY MFCC            </t>
  </si>
  <si>
    <t xml:space="preserve">MARTZ JEFFRY                  </t>
  </si>
  <si>
    <t xml:space="preserve">CHILDREN'S HOSP BERT MHS      </t>
  </si>
  <si>
    <t xml:space="preserve">CHO BERT                      </t>
  </si>
  <si>
    <t>CHILDREN'S HOSP MCCLYMONDS SCH</t>
  </si>
  <si>
    <t xml:space="preserve">CHO MCCLYMND                  </t>
  </si>
  <si>
    <t xml:space="preserve">SCHELLING HEIDI LCSW          </t>
  </si>
  <si>
    <t xml:space="preserve">SCHELLING H                   </t>
  </si>
  <si>
    <t xml:space="preserve">WEISS PATRICIA                </t>
  </si>
  <si>
    <t xml:space="preserve">WEISS PAT                     </t>
  </si>
  <si>
    <t xml:space="preserve">NEWMAN ZOE MFCC               </t>
  </si>
  <si>
    <t xml:space="preserve">NEWMAN ZOE                    </t>
  </si>
  <si>
    <t xml:space="preserve">KELLY KEVIN PHD               </t>
  </si>
  <si>
    <t xml:space="preserve">KELLY KEVIN                   </t>
  </si>
  <si>
    <t xml:space="preserve">SEEVERS MARY DEGER MFCC       </t>
  </si>
  <si>
    <t xml:space="preserve">SEEVERS MARY                  </t>
  </si>
  <si>
    <t xml:space="preserve">HOARD DEWITT LCSW             </t>
  </si>
  <si>
    <t xml:space="preserve">HOARD DEWITT                  </t>
  </si>
  <si>
    <t xml:space="preserve">LEE CHANG MD                  </t>
  </si>
  <si>
    <t xml:space="preserve">LEE CHANG                     </t>
  </si>
  <si>
    <t xml:space="preserve">WIRGA ALEKSANDRA MD           </t>
  </si>
  <si>
    <t xml:space="preserve">WIRGA ALEKSN                  </t>
  </si>
  <si>
    <t xml:space="preserve">BONITA HOUSE CLC REH HLF DAY  </t>
  </si>
  <si>
    <t xml:space="preserve">BONITA REHLF                  </t>
  </si>
  <si>
    <t>SENECA SIMMONS SCH REHAB DY FL</t>
  </si>
  <si>
    <t xml:space="preserve">MACOMBER MELVIN PHD           </t>
  </si>
  <si>
    <t xml:space="preserve">MACOMBER MEL                  </t>
  </si>
  <si>
    <t xml:space="preserve">FOSS JANICE MFCC              </t>
  </si>
  <si>
    <t xml:space="preserve">FOSS JANICE                   </t>
  </si>
  <si>
    <t>GONZALES SEABERRY YOLLANDA MFT</t>
  </si>
  <si>
    <t xml:space="preserve">GONZ SEABERY                  </t>
  </si>
  <si>
    <t xml:space="preserve">MARCO MARILYN MFCC            </t>
  </si>
  <si>
    <t xml:space="preserve">MARCO MARLYN                  </t>
  </si>
  <si>
    <t xml:space="preserve">URDAN ALISON MFCC             </t>
  </si>
  <si>
    <t xml:space="preserve">URDAN ALISON                  </t>
  </si>
  <si>
    <t xml:space="preserve">FALAHAT NAZI PHD              </t>
  </si>
  <si>
    <t xml:space="preserve">FALAHAT NAZI                  </t>
  </si>
  <si>
    <t xml:space="preserve">MARSOLAIS MIRIAM PHD          </t>
  </si>
  <si>
    <t xml:space="preserve">MARSOLAIS MI                  </t>
  </si>
  <si>
    <t xml:space="preserve">KOELLE JONATHAN MD            </t>
  </si>
  <si>
    <t xml:space="preserve">KOELLE JON                    </t>
  </si>
  <si>
    <t>STARS COMM SVCS NPS-CE MHS CHD</t>
  </si>
  <si>
    <t xml:space="preserve">STARS NPSCE                   </t>
  </si>
  <si>
    <t xml:space="preserve">STARS COMM SERVICE CTR MHS CH </t>
  </si>
  <si>
    <t xml:space="preserve">STARS COMSVC                  </t>
  </si>
  <si>
    <t xml:space="preserve">A BETTER WAY MHS CHILD        </t>
  </si>
  <si>
    <t xml:space="preserve">BETTERWAY MH                  </t>
  </si>
  <si>
    <t>A BETTER WAY POST ADOPT MHS CH</t>
  </si>
  <si>
    <t xml:space="preserve">BETTERWAY PA                  </t>
  </si>
  <si>
    <t>A BETTER WAY THERAP VIS MHS CH</t>
  </si>
  <si>
    <t xml:space="preserve">BETTERWAY TV                  </t>
  </si>
  <si>
    <t>A BETTER WAY IN HOME MHS CHILD</t>
  </si>
  <si>
    <t xml:space="preserve">BETTERWAY IH                  </t>
  </si>
  <si>
    <t xml:space="preserve">CHILD THERAPY INST OF MARIN   </t>
  </si>
  <si>
    <t xml:space="preserve">CTI OF MARIN                  </t>
  </si>
  <si>
    <t xml:space="preserve">STRONG RUTH PHD               </t>
  </si>
  <si>
    <t xml:space="preserve">STRONG RUTH                   </t>
  </si>
  <si>
    <t xml:space="preserve">ARTHUR LAURA MFCC             </t>
  </si>
  <si>
    <t xml:space="preserve">ARTHUR LAURA                  </t>
  </si>
  <si>
    <t xml:space="preserve">HARI SAVITRI MFCC             </t>
  </si>
  <si>
    <t xml:space="preserve">HARI SAVITRI                  </t>
  </si>
  <si>
    <t xml:space="preserve">MULLEN SIDNEY MFCC            </t>
  </si>
  <si>
    <t xml:space="preserve">MULLEN SIDNY                  </t>
  </si>
  <si>
    <t xml:space="preserve">POLK EVELYN MFCC              </t>
  </si>
  <si>
    <t xml:space="preserve">POLK EVELYN                   </t>
  </si>
  <si>
    <t xml:space="preserve">ROGERS ANNE MFCC              </t>
  </si>
  <si>
    <t xml:space="preserve">ROGERS ANNE                   </t>
  </si>
  <si>
    <t xml:space="preserve">TERRIS SUSAN MFCC             </t>
  </si>
  <si>
    <t xml:space="preserve">TERRIS SUSAN                  </t>
  </si>
  <si>
    <t xml:space="preserve">LANE MICHELLE MFCC            </t>
  </si>
  <si>
    <t xml:space="preserve">LANE MICHELE                  </t>
  </si>
  <si>
    <t xml:space="preserve">REYES ARJUN MD                </t>
  </si>
  <si>
    <t xml:space="preserve">REYES ARJUN                   </t>
  </si>
  <si>
    <t xml:space="preserve">MIMS CHERYL LCSW              </t>
  </si>
  <si>
    <t xml:space="preserve">MIMS CHERYL                   </t>
  </si>
  <si>
    <t>PACIFIC FORENSIC PSY ASSOC GRP</t>
  </si>
  <si>
    <t xml:space="preserve">PAC FORENSIC                  </t>
  </si>
  <si>
    <t xml:space="preserve">THE LINK TO CHILDREN PRG      </t>
  </si>
  <si>
    <t xml:space="preserve">LINK TO CHLD                  </t>
  </si>
  <si>
    <t>JEWISH FAMILY L3 BERK MHS CHLD</t>
  </si>
  <si>
    <t xml:space="preserve">JFCS BK L3CH                  </t>
  </si>
  <si>
    <t>JEWISH FAMILY L3 BRK MHS ADULT</t>
  </si>
  <si>
    <t xml:space="preserve">JFCS BK L3AD                  </t>
  </si>
  <si>
    <t xml:space="preserve">CITY OF FREMONT YFS L3 MHS AD </t>
  </si>
  <si>
    <t xml:space="preserve">CTY FR L3 AD                  </t>
  </si>
  <si>
    <t xml:space="preserve">CITY OF FREMONT YFS L3 MHS CH </t>
  </si>
  <si>
    <t xml:space="preserve">CTY FR L3 CH                  </t>
  </si>
  <si>
    <t xml:space="preserve">CITY OF FREMONT 0-5 MHS CHILD </t>
  </si>
  <si>
    <t xml:space="preserve">CTY FRMNT0-5                  </t>
  </si>
  <si>
    <t xml:space="preserve">CITY OF FREMONT SCH MHS CHILD </t>
  </si>
  <si>
    <t xml:space="preserve">CTY FR SC MH                  </t>
  </si>
  <si>
    <t xml:space="preserve">CHAA LEVEL III MHS AD         </t>
  </si>
  <si>
    <t xml:space="preserve">CHAA AD                       </t>
  </si>
  <si>
    <t>ASIAN PACIFIC SKYLINE HS MH CH</t>
  </si>
  <si>
    <t xml:space="preserve">ASIAN PAC SK                  </t>
  </si>
  <si>
    <t>ALAMEDA FAM SRV LVLIII MHS ADL</t>
  </si>
  <si>
    <t xml:space="preserve">ALAFAMSVL3AD                  </t>
  </si>
  <si>
    <t xml:space="preserve">ALAMEDA FAM SRV LVLIII MHS CH </t>
  </si>
  <si>
    <t xml:space="preserve">ALAFAMSVL3CH                  </t>
  </si>
  <si>
    <t>ALAMEDA FAM SRV DUAL DX MHS CH</t>
  </si>
  <si>
    <t xml:space="preserve">ALAFAMSVDUDX                  </t>
  </si>
  <si>
    <t>SENECA MOBILE RESP TEAM MHS CH</t>
  </si>
  <si>
    <t xml:space="preserve">SENECA MOBIL                  </t>
  </si>
  <si>
    <t xml:space="preserve">MANGASEP CONCEPCION MD        </t>
  </si>
  <si>
    <t xml:space="preserve">MAGNASEP CON                  </t>
  </si>
  <si>
    <t xml:space="preserve">NABATIAN IRADJ MD             </t>
  </si>
  <si>
    <t xml:space="preserve">NABATIAN IRA                  </t>
  </si>
  <si>
    <t xml:space="preserve">EDWARDS ALLIE PHD             </t>
  </si>
  <si>
    <t xml:space="preserve">EDWARDS ALLI                  </t>
  </si>
  <si>
    <t xml:space="preserve">HE FRANCES PHD                </t>
  </si>
  <si>
    <t xml:space="preserve">HE FRANCES                    </t>
  </si>
  <si>
    <t xml:space="preserve">JOSEPH JAMES PHD              </t>
  </si>
  <si>
    <t xml:space="preserve">JOSEPH JAMES                  </t>
  </si>
  <si>
    <t xml:space="preserve">SOLWREN DEENA LCSW            </t>
  </si>
  <si>
    <t xml:space="preserve">SOLWREN DEEN                  </t>
  </si>
  <si>
    <t xml:space="preserve">BOWMAN CARSON MFCC            </t>
  </si>
  <si>
    <t xml:space="preserve">BOWMAN CARSN                  </t>
  </si>
  <si>
    <t xml:space="preserve">WOLFE MARTHA MFCC             </t>
  </si>
  <si>
    <t xml:space="preserve">WOLFE MARTHA                  </t>
  </si>
  <si>
    <t xml:space="preserve">DAVIS PAMELA MFCC             </t>
  </si>
  <si>
    <t xml:space="preserve">DAVIS PAMELA                  </t>
  </si>
  <si>
    <t xml:space="preserve">NORDMAN REGINA MFCC           </t>
  </si>
  <si>
    <t xml:space="preserve">NORDMAN REGI                  </t>
  </si>
  <si>
    <t xml:space="preserve">FRUGE PSYCHOLOGICAL ASSOC GRP </t>
  </si>
  <si>
    <t xml:space="preserve">FRUGE ASSOC                   </t>
  </si>
  <si>
    <t xml:space="preserve">HABER DEBRA LCSW              </t>
  </si>
  <si>
    <t xml:space="preserve">HABER DEBRA                   </t>
  </si>
  <si>
    <t xml:space="preserve">ROBERTSON JERALDINE MFCC      </t>
  </si>
  <si>
    <t xml:space="preserve">ROBERTSON JE                  </t>
  </si>
  <si>
    <t xml:space="preserve">VALUE OPTIONS INC             </t>
  </si>
  <si>
    <t xml:space="preserve">VALUE OPTION                  </t>
  </si>
  <si>
    <t xml:space="preserve">JEWISH FAMILY 0-5 MHS CHILD   </t>
  </si>
  <si>
    <t xml:space="preserve">JFCS 0-5MHCH                  </t>
  </si>
  <si>
    <t xml:space="preserve">ATKINSON NANCY MFCC           </t>
  </si>
  <si>
    <t xml:space="preserve">ATKINSON NAN                  </t>
  </si>
  <si>
    <t xml:space="preserve">A COLLABORATIVE EFFORT GROUP  </t>
  </si>
  <si>
    <t xml:space="preserve">A COLLAB EFF                  </t>
  </si>
  <si>
    <t xml:space="preserve">STARS COMMUNITY SERVICE TBS   </t>
  </si>
  <si>
    <t>CHILDREN'S HOSP CASTLEMONT SCH</t>
  </si>
  <si>
    <t xml:space="preserve">CHO CASTLEMO                  </t>
  </si>
  <si>
    <t xml:space="preserve">ALEXANDER JOAN LCSW           </t>
  </si>
  <si>
    <t xml:space="preserve">ALEXANDER JO                  </t>
  </si>
  <si>
    <t xml:space="preserve">MERZ-STAVIS DENISE LCSW       </t>
  </si>
  <si>
    <t xml:space="preserve">MERZ-STAVIS                   </t>
  </si>
  <si>
    <t xml:space="preserve">BENDER SHARN                  </t>
  </si>
  <si>
    <t xml:space="preserve">BERHANU ENGE                  </t>
  </si>
  <si>
    <t xml:space="preserve">DESOUSA GINA                  </t>
  </si>
  <si>
    <t xml:space="preserve">FRIESEN JAN                   </t>
  </si>
  <si>
    <t xml:space="preserve">RASHADA MARYAM LCSW           </t>
  </si>
  <si>
    <t xml:space="preserve">RASHADA MARY                  </t>
  </si>
  <si>
    <t xml:space="preserve">RICHARDSON D                  </t>
  </si>
  <si>
    <t xml:space="preserve">SILVAGNI LOR                  </t>
  </si>
  <si>
    <t xml:space="preserve">THOMPSON JON                  </t>
  </si>
  <si>
    <t xml:space="preserve">WIKKELING D                   </t>
  </si>
  <si>
    <t xml:space="preserve">WEINBERG SARAH LCSW           </t>
  </si>
  <si>
    <t xml:space="preserve">WOLZ BRIGIT MFCC              </t>
  </si>
  <si>
    <t xml:space="preserve">WOLZ BRIGIT                   </t>
  </si>
  <si>
    <t xml:space="preserve">AFARY MONA MFCC               </t>
  </si>
  <si>
    <t xml:space="preserve">AFARY MONA                    </t>
  </si>
  <si>
    <t xml:space="preserve">CASTELLO-KRAMER GABRIELA MFCC </t>
  </si>
  <si>
    <t xml:space="preserve">CASTELLO-KRA                  </t>
  </si>
  <si>
    <t xml:space="preserve">POE LENORA MFCC               </t>
  </si>
  <si>
    <t xml:space="preserve">POE LENORA                    </t>
  </si>
  <si>
    <t xml:space="preserve">BUNKER GAIL MFCC              </t>
  </si>
  <si>
    <t xml:space="preserve">MARMER MELINDA MFCC           </t>
  </si>
  <si>
    <t xml:space="preserve">MARMER MELIN                  </t>
  </si>
  <si>
    <t xml:space="preserve">SHOEMAKER HELEN MFCC          </t>
  </si>
  <si>
    <t xml:space="preserve">SHOEMAKER H                   </t>
  </si>
  <si>
    <t xml:space="preserve">WICKNER FRAN MFCC             </t>
  </si>
  <si>
    <t xml:space="preserve">WICKNER FRAN                  </t>
  </si>
  <si>
    <t>TRADITIONS BEHAVIORAL HLTH GRP</t>
  </si>
  <si>
    <t xml:space="preserve">TRADITIONS                    </t>
  </si>
  <si>
    <t xml:space="preserve">WILLIAMS DONALD PHD           </t>
  </si>
  <si>
    <t xml:space="preserve">WILLIAMS DON                  </t>
  </si>
  <si>
    <t xml:space="preserve">TORRES MICHAEL PHD            </t>
  </si>
  <si>
    <t xml:space="preserve">TORRES MICHL                  </t>
  </si>
  <si>
    <t xml:space="preserve">BAGBY NAOMI LCSW              </t>
  </si>
  <si>
    <t xml:space="preserve">BAGBY NAOMI                   </t>
  </si>
  <si>
    <t xml:space="preserve">TARTAGLIA GARY LCSW           </t>
  </si>
  <si>
    <t xml:space="preserve">TARTAGLIA G                   </t>
  </si>
  <si>
    <t xml:space="preserve">SHERBER STEV                  </t>
  </si>
  <si>
    <t xml:space="preserve">STARKEY L                     </t>
  </si>
  <si>
    <t xml:space="preserve">BOHRMAN CATHERINE MFCC        </t>
  </si>
  <si>
    <t xml:space="preserve">BOHRMAN CAT                   </t>
  </si>
  <si>
    <t xml:space="preserve">MADDEN SHEILA MFT             </t>
  </si>
  <si>
    <t xml:space="preserve">MADDEN SHEIL                  </t>
  </si>
  <si>
    <t xml:space="preserve">HELMS MARTHA MFCC             </t>
  </si>
  <si>
    <t xml:space="preserve">HELMS MARTHA                  </t>
  </si>
  <si>
    <t xml:space="preserve">SKOGLUND KAMRY MFCC           </t>
  </si>
  <si>
    <t xml:space="preserve">SKOGLUND KAM                  </t>
  </si>
  <si>
    <t xml:space="preserve">SENECA CASS MHS CHILD         </t>
  </si>
  <si>
    <t xml:space="preserve">SENECA CASS                   </t>
  </si>
  <si>
    <t xml:space="preserve">WEST COAST CASS               </t>
  </si>
  <si>
    <t xml:space="preserve">WCOAST CASS                   </t>
  </si>
  <si>
    <t xml:space="preserve">TELECARE STEPS MHS ADULT      </t>
  </si>
  <si>
    <t xml:space="preserve">STEPS MHS AD                  </t>
  </si>
  <si>
    <t xml:space="preserve">DEMING JAMES MD               </t>
  </si>
  <si>
    <t xml:space="preserve">DEMING JAMES                  </t>
  </si>
  <si>
    <t xml:space="preserve">HIRSCHAUT LESLIE MD           </t>
  </si>
  <si>
    <t xml:space="preserve">HIRSCHAUT L                   </t>
  </si>
  <si>
    <t xml:space="preserve">GHISELLI NINA PHD             </t>
  </si>
  <si>
    <t xml:space="preserve">GHISELLI N                    </t>
  </si>
  <si>
    <t xml:space="preserve">KIKUCHI NANCY LCSW            </t>
  </si>
  <si>
    <t xml:space="preserve">KIKUCHI NANC                  </t>
  </si>
  <si>
    <t xml:space="preserve">CHACE ROSEMARY MFCC           </t>
  </si>
  <si>
    <t xml:space="preserve">CHACE ROSEMA                  </t>
  </si>
  <si>
    <t xml:space="preserve">QUINONES JOHN MFCC            </t>
  </si>
  <si>
    <t xml:space="preserve">QUINONES J                    </t>
  </si>
  <si>
    <t xml:space="preserve">SAFRAN LEE MFCC               </t>
  </si>
  <si>
    <t xml:space="preserve">SAFRAN LEE                    </t>
  </si>
  <si>
    <t xml:space="preserve">NWANGBURUKA OKECHUKWU N MD    </t>
  </si>
  <si>
    <t xml:space="preserve">NWANGBURUKA                   </t>
  </si>
  <si>
    <t xml:space="preserve">KOHBOD ALIYEH PHD             </t>
  </si>
  <si>
    <t xml:space="preserve">KOHBOD ALIYE                  </t>
  </si>
  <si>
    <t xml:space="preserve">GLEZERMAN ANASTASYA PHD       </t>
  </si>
  <si>
    <t xml:space="preserve">GLEZERMAN A                   </t>
  </si>
  <si>
    <t xml:space="preserve">MAYALL ALICE PHD              </t>
  </si>
  <si>
    <t xml:space="preserve">MAYALL ALICE                  </t>
  </si>
  <si>
    <t xml:space="preserve">ANDRADE SCOTT MFCC            </t>
  </si>
  <si>
    <t xml:space="preserve">ANDRADE SCOT                  </t>
  </si>
  <si>
    <t xml:space="preserve">MCGUIRE VICKI MFCC            </t>
  </si>
  <si>
    <t xml:space="preserve">MCGUIRE V                     </t>
  </si>
  <si>
    <t xml:space="preserve">ASSAF HEFTSI MFCC             </t>
  </si>
  <si>
    <t xml:space="preserve">ASSAF HEFTSI                  </t>
  </si>
  <si>
    <t xml:space="preserve">LAFARGE RENEE MFCC            </t>
  </si>
  <si>
    <t xml:space="preserve">LAFARGE RENE                  </t>
  </si>
  <si>
    <t xml:space="preserve">SALISBURY BARBARA MFCC        </t>
  </si>
  <si>
    <t xml:space="preserve">SALISBURY B                   </t>
  </si>
  <si>
    <t xml:space="preserve">JOHNSON RUTH LCSW             </t>
  </si>
  <si>
    <t xml:space="preserve">JOHNSON RUTH                  </t>
  </si>
  <si>
    <t xml:space="preserve">YASEMSKY ILENE LCSW           </t>
  </si>
  <si>
    <t xml:space="preserve">YASEMSKY ILE                  </t>
  </si>
  <si>
    <t xml:space="preserve">DONALDSON RICHARD LCSW        </t>
  </si>
  <si>
    <t xml:space="preserve">DONALDSON R                   </t>
  </si>
  <si>
    <t xml:space="preserve">YOUTH HOMES INC               </t>
  </si>
  <si>
    <t xml:space="preserve">YOUTH HOMES                   </t>
  </si>
  <si>
    <t xml:space="preserve">LUTHER PAUL MD                </t>
  </si>
  <si>
    <t xml:space="preserve">LUTHER PAUL                   </t>
  </si>
  <si>
    <t xml:space="preserve">DOWLA VALERIE PHD             </t>
  </si>
  <si>
    <t xml:space="preserve">DOWLA VALERI                  </t>
  </si>
  <si>
    <t xml:space="preserve">THOMPSON TRACY PHD            </t>
  </si>
  <si>
    <t xml:space="preserve">THOMPSON TRA                  </t>
  </si>
  <si>
    <t xml:space="preserve">THEIMER SVETLANA MFCC         </t>
  </si>
  <si>
    <t xml:space="preserve">THEIMER SVET                  </t>
  </si>
  <si>
    <t xml:space="preserve">HAAVIK PAMELA MFCC            </t>
  </si>
  <si>
    <t xml:space="preserve">HAAVIK PAM                    </t>
  </si>
  <si>
    <t xml:space="preserve">PHILLIPS CAROLYN MFCC         </t>
  </si>
  <si>
    <t xml:space="preserve">PHILLIPS C                    </t>
  </si>
  <si>
    <t xml:space="preserve">SHAFFER AMY MFCC              </t>
  </si>
  <si>
    <t xml:space="preserve">SHAFFER AMY                   </t>
  </si>
  <si>
    <t xml:space="preserve">BATES ANDREA MD               </t>
  </si>
  <si>
    <t xml:space="preserve">BATES ANDREA                  </t>
  </si>
  <si>
    <t xml:space="preserve">PALADUGU GEETHA MD            </t>
  </si>
  <si>
    <t xml:space="preserve">PALADUGU G                    </t>
  </si>
  <si>
    <t xml:space="preserve">RICE DAVID PHD                </t>
  </si>
  <si>
    <t xml:space="preserve">RICE DAVID                    </t>
  </si>
  <si>
    <t xml:space="preserve">LAUBER RACHEL PHD             </t>
  </si>
  <si>
    <t xml:space="preserve">LAUBER RACHL                  </t>
  </si>
  <si>
    <t xml:space="preserve">LURKIS LOUISA PHD             </t>
  </si>
  <si>
    <t xml:space="preserve">LURKIS L                      </t>
  </si>
  <si>
    <t xml:space="preserve">FYNN GILLIAN LCSW             </t>
  </si>
  <si>
    <t xml:space="preserve">FYNN GILLIAN                  </t>
  </si>
  <si>
    <t xml:space="preserve">ALLEN TERESA MFCC             </t>
  </si>
  <si>
    <t xml:space="preserve">ALLEN TERESA                  </t>
  </si>
  <si>
    <t xml:space="preserve">KALMAR PETER MFCC             </t>
  </si>
  <si>
    <t xml:space="preserve">KALMAR PETER                  </t>
  </si>
  <si>
    <t xml:space="preserve">SADIQ RENEE D LCSW            </t>
  </si>
  <si>
    <t xml:space="preserve">SADIQ RENEE                   </t>
  </si>
  <si>
    <t xml:space="preserve">SCHWARTZ MICHAEL D  MD        </t>
  </si>
  <si>
    <t xml:space="preserve">SCHWARTZ MIC                  </t>
  </si>
  <si>
    <t xml:space="preserve">BUCCIGROSS RICHARD L          </t>
  </si>
  <si>
    <t xml:space="preserve">BUCCIGROSS R                  </t>
  </si>
  <si>
    <t xml:space="preserve">DIMAS JUANITA M               </t>
  </si>
  <si>
    <t xml:space="preserve">DIMAS JUANIT                  </t>
  </si>
  <si>
    <t xml:space="preserve">KUMAR HARMESH                 </t>
  </si>
  <si>
    <t xml:space="preserve">KUMAR HARMES                  </t>
  </si>
  <si>
    <t xml:space="preserve">EHRENSAFT DIANE               </t>
  </si>
  <si>
    <t xml:space="preserve">EHRENSAFT DI                  </t>
  </si>
  <si>
    <t xml:space="preserve">RYAN SHEILA                   </t>
  </si>
  <si>
    <t xml:space="preserve">DALE VALLA J                  </t>
  </si>
  <si>
    <t xml:space="preserve">ANGELO  KEN A                 </t>
  </si>
  <si>
    <t xml:space="preserve">ANGELO KEN A                  </t>
  </si>
  <si>
    <t xml:space="preserve">CORGIAT MICHELE D             </t>
  </si>
  <si>
    <t xml:space="preserve">CORGIAT MICH                  </t>
  </si>
  <si>
    <t>A BETTER WAY LEV III MHS ADULT</t>
  </si>
  <si>
    <t xml:space="preserve">BETTERWYADUL                  </t>
  </si>
  <si>
    <t>E BAY COMM REC HAY HALF DY REH</t>
  </si>
  <si>
    <t xml:space="preserve">EBCRPHAYHALF                  </t>
  </si>
  <si>
    <t>INTERNATIONAL PSY CONSLTG INST</t>
  </si>
  <si>
    <t xml:space="preserve">INTERPSYCSLI                  </t>
  </si>
  <si>
    <t xml:space="preserve">VALERA JENNIFER LCSW          </t>
  </si>
  <si>
    <t xml:space="preserve">VALERA JENNI                  </t>
  </si>
  <si>
    <t xml:space="preserve">THRELKEL MARY MFCC            </t>
  </si>
  <si>
    <t xml:space="preserve">THRELKEL MAR                  </t>
  </si>
  <si>
    <t>A BETTER WAY INFANT PARENT MHS</t>
  </si>
  <si>
    <t xml:space="preserve">ABTRWYINFTPR                  </t>
  </si>
  <si>
    <t xml:space="preserve">SENECA OUR KIDS KING SCHOOL   </t>
  </si>
  <si>
    <t xml:space="preserve">SENCTRKDSKNG                  </t>
  </si>
  <si>
    <t xml:space="preserve">SENECA OUR KIDS LONGWOOD SCH  </t>
  </si>
  <si>
    <t xml:space="preserve">SEN RKDS LNG                  </t>
  </si>
  <si>
    <t xml:space="preserve">STARS OUR KIDS MARKHAM SCH    </t>
  </si>
  <si>
    <t xml:space="preserve">STARSRKDSMAR                  </t>
  </si>
  <si>
    <t xml:space="preserve">STARS OUR KIDS MUIR SCHOOL    </t>
  </si>
  <si>
    <t xml:space="preserve">STARSRKDSMUI                  </t>
  </si>
  <si>
    <t xml:space="preserve">STARS OUR KIDS RUUS SCHOOL    </t>
  </si>
  <si>
    <t xml:space="preserve">STARSRKDSRUU                  </t>
  </si>
  <si>
    <t xml:space="preserve">STARS OUR KIDS TREEVIEW SCH   </t>
  </si>
  <si>
    <t xml:space="preserve">STARSRKDSTRE                  </t>
  </si>
  <si>
    <t xml:space="preserve">STARS LORENZO MANOR SCH MHS   </t>
  </si>
  <si>
    <t xml:space="preserve">STARSLORZSCH                  </t>
  </si>
  <si>
    <t xml:space="preserve">STARS COLONIAL ACRES SCH MHS  </t>
  </si>
  <si>
    <t xml:space="preserve">STARSCOLNSCH                  </t>
  </si>
  <si>
    <t>CITY OF FREMONT TRUANCY INTVEN</t>
  </si>
  <si>
    <t xml:space="preserve">CTY FR TRUCY                  </t>
  </si>
  <si>
    <t xml:space="preserve">CITY OF FREMONT ROBERTSON SCH </t>
  </si>
  <si>
    <t xml:space="preserve">CTYFR ROBSCH                  </t>
  </si>
  <si>
    <t xml:space="preserve">SRP - MORNING STAR VILLA      </t>
  </si>
  <si>
    <t xml:space="preserve">SRP MORNING                   </t>
  </si>
  <si>
    <t xml:space="preserve">MULTI-LINGUAL COUNSELING      </t>
  </si>
  <si>
    <t xml:space="preserve">MULTILINGUAL                  </t>
  </si>
  <si>
    <t xml:space="preserve">RAGON JOY M MFCC              </t>
  </si>
  <si>
    <t xml:space="preserve">RAGON JOY MF                  </t>
  </si>
  <si>
    <t xml:space="preserve">EHRLICH KIMBERLY K  MFCC      </t>
  </si>
  <si>
    <t xml:space="preserve">EHRLICH KIM                   </t>
  </si>
  <si>
    <t xml:space="preserve">NASATIR LAURA M MD            </t>
  </si>
  <si>
    <t xml:space="preserve">NASATIR LAUR                  </t>
  </si>
  <si>
    <t xml:space="preserve">JOSEPH CHRISTINE MFCC         </t>
  </si>
  <si>
    <t xml:space="preserve">JOSEPH CHRIS                  </t>
  </si>
  <si>
    <t xml:space="preserve">KRAMER KAREN S MFCC           </t>
  </si>
  <si>
    <t xml:space="preserve">KRAMER KAREN                  </t>
  </si>
  <si>
    <t xml:space="preserve">PINCUS ANNE M  PHD            </t>
  </si>
  <si>
    <t xml:space="preserve">PINCUS ANNE                   </t>
  </si>
  <si>
    <t xml:space="preserve">LEBECK SHERRY L PHD           </t>
  </si>
  <si>
    <t xml:space="preserve">LEBECK SHERR                  </t>
  </si>
  <si>
    <t xml:space="preserve">KITZES ALEXANDER J PHD        </t>
  </si>
  <si>
    <t xml:space="preserve">KITZEA ALEX                   </t>
  </si>
  <si>
    <t xml:space="preserve">MONROE DEBBARA J PH D         </t>
  </si>
  <si>
    <t xml:space="preserve">MONROE DEBBA                  </t>
  </si>
  <si>
    <t xml:space="preserve">VERDONE DANL K MFCC           </t>
  </si>
  <si>
    <t xml:space="preserve">VERDONE DAN                   </t>
  </si>
  <si>
    <t xml:space="preserve">CORYELL MARTIE J MFCC         </t>
  </si>
  <si>
    <t xml:space="preserve">CORYELL MART                  </t>
  </si>
  <si>
    <t xml:space="preserve">HAMMOND LINDA R  MFCC         </t>
  </si>
  <si>
    <t xml:space="preserve">HAMMOND LIND                  </t>
  </si>
  <si>
    <t xml:space="preserve">MALLARE LITOS O MD            </t>
  </si>
  <si>
    <t xml:space="preserve">MALLARE LITO                  </t>
  </si>
  <si>
    <t xml:space="preserve">WIRGA MARIUSZ MD              </t>
  </si>
  <si>
    <t xml:space="preserve">WIRGA MARIUS                  </t>
  </si>
  <si>
    <t xml:space="preserve">PSC BREWER SCH MHS CHILD      </t>
  </si>
  <si>
    <t xml:space="preserve">PSC BREWER                    </t>
  </si>
  <si>
    <t xml:space="preserve">PSC MUNCH SCH MHS CHILD       </t>
  </si>
  <si>
    <t xml:space="preserve">PSC MUNCH                     </t>
  </si>
  <si>
    <t xml:space="preserve">PSC RUBICON SCH MHS CHILD     </t>
  </si>
  <si>
    <t xml:space="preserve">PSC RUBICON                   </t>
  </si>
  <si>
    <t xml:space="preserve">GLICK DENNIS R  MD            </t>
  </si>
  <si>
    <t xml:space="preserve">GLICK DENNIS                  </t>
  </si>
  <si>
    <t xml:space="preserve">GOODRICH GINA PhD             </t>
  </si>
  <si>
    <t xml:space="preserve">GOODRICH GIN                  </t>
  </si>
  <si>
    <t xml:space="preserve">STEINER DEBRA P LCSW          </t>
  </si>
  <si>
    <t xml:space="preserve">STEINER DEBR                  </t>
  </si>
  <si>
    <t xml:space="preserve">HILL MYRNA L MFCC             </t>
  </si>
  <si>
    <t xml:space="preserve">HILL MYRNA                    </t>
  </si>
  <si>
    <t xml:space="preserve">AMPUDIA PETER A MD            </t>
  </si>
  <si>
    <t xml:space="preserve">AMPUDIA PETE                  </t>
  </si>
  <si>
    <t xml:space="preserve">AMJADI TAGHI M MFCC           </t>
  </si>
  <si>
    <t xml:space="preserve">AMJADI TAGHI                  </t>
  </si>
  <si>
    <t xml:space="preserve">GROSVENOR CARO S MFCC         </t>
  </si>
  <si>
    <t xml:space="preserve">GROSVENOR CA                  </t>
  </si>
  <si>
    <t xml:space="preserve">SPRECHER NINA P  MFT          </t>
  </si>
  <si>
    <t xml:space="preserve">SPRECHER NIN                  </t>
  </si>
  <si>
    <t xml:space="preserve">CHAWENGCHOT SARAPHI MFCC      </t>
  </si>
  <si>
    <t xml:space="preserve">CHAWENGCHOT                   </t>
  </si>
  <si>
    <t xml:space="preserve">MCDONALD JAMES W LCSW         </t>
  </si>
  <si>
    <t xml:space="preserve">MCDONALD JAM                  </t>
  </si>
  <si>
    <t xml:space="preserve">COULTER  JACQUELINE F MFT     </t>
  </si>
  <si>
    <t xml:space="preserve">COULTER JACQ                  </t>
  </si>
  <si>
    <t xml:space="preserve">ALVAREZ  GUILLERMO J MFT      </t>
  </si>
  <si>
    <t xml:space="preserve">ALVAREZ GUIL                  </t>
  </si>
  <si>
    <t xml:space="preserve">NUNEZ GEORGINA M  LCSW        </t>
  </si>
  <si>
    <t xml:space="preserve">NUNEZ GEORGI                  </t>
  </si>
  <si>
    <t xml:space="preserve">VAN DYKE  MARCIA PHD          </t>
  </si>
  <si>
    <t xml:space="preserve">VANDYKE MARC                  </t>
  </si>
  <si>
    <t xml:space="preserve">LOLLEY  CYBELE M MFT          </t>
  </si>
  <si>
    <t xml:space="preserve">LOLLEY CYBEL                  </t>
  </si>
  <si>
    <t xml:space="preserve">JUN  JIMMY LCSW               </t>
  </si>
  <si>
    <t xml:space="preserve">JUN JIMMY                     </t>
  </si>
  <si>
    <t>SENECA OUSD COMM DAY SCH CHILD</t>
  </si>
  <si>
    <t xml:space="preserve">SEN OUSD CDS                  </t>
  </si>
  <si>
    <t xml:space="preserve">SENECA OUSD FAR WEST ACA SCH  </t>
  </si>
  <si>
    <t xml:space="preserve">SEN OUSE FWA                  </t>
  </si>
  <si>
    <t xml:space="preserve">SENECA OUSD MERRIT MCH SCH    </t>
  </si>
  <si>
    <t xml:space="preserve">SEN OUSD MER                  </t>
  </si>
  <si>
    <t>SENECA OUSD STREET ACADEMY SCH</t>
  </si>
  <si>
    <t xml:space="preserve">SEN OUSD STR                  </t>
  </si>
  <si>
    <t xml:space="preserve">SUDERMANN  ANNEMARIE MFT      </t>
  </si>
  <si>
    <t xml:space="preserve">SUDERMANN AN                  </t>
  </si>
  <si>
    <t xml:space="preserve">ROSLUND CHRISTINE E MFT       </t>
  </si>
  <si>
    <t xml:space="preserve">ROSLUND CHRI                  </t>
  </si>
  <si>
    <t xml:space="preserve">JIANG GRACE Y  MFT            </t>
  </si>
  <si>
    <t xml:space="preserve">JIANG GRACE                   </t>
  </si>
  <si>
    <t xml:space="preserve">KATUALA YVETTE MFCC           </t>
  </si>
  <si>
    <t xml:space="preserve">KATUALA YVET                  </t>
  </si>
  <si>
    <t xml:space="preserve">PSC CLEVELAND SCH MHS CHILD   </t>
  </si>
  <si>
    <t xml:space="preserve">PSC CLEVELAN                  </t>
  </si>
  <si>
    <t xml:space="preserve">PSC FREMONT SCH MHS CHILD     </t>
  </si>
  <si>
    <t xml:space="preserve">PSC FREMONT                   </t>
  </si>
  <si>
    <t xml:space="preserve">PSC FRICK SCH MHS CHILD       </t>
  </si>
  <si>
    <t xml:space="preserve">PSC FRICK                     </t>
  </si>
  <si>
    <t xml:space="preserve">MEIER SYLVIA A MFCC           </t>
  </si>
  <si>
    <t xml:space="preserve">MEIER SYLVIA                  </t>
  </si>
  <si>
    <t xml:space="preserve">SENECA OUSD ELMHURST SAFEP CH </t>
  </si>
  <si>
    <t xml:space="preserve">SEN ELM SAFE                  </t>
  </si>
  <si>
    <t xml:space="preserve">MALEK-MORENO DINA LCSW        </t>
  </si>
  <si>
    <t xml:space="preserve">MALEK-MORENO                  </t>
  </si>
  <si>
    <t xml:space="preserve">HELANDER CAROL B MFT          </t>
  </si>
  <si>
    <t xml:space="preserve">HELANDER CAR                  </t>
  </si>
  <si>
    <t xml:space="preserve">ROSALES-WYMAN CAROLINA LCSW   </t>
  </si>
  <si>
    <t xml:space="preserve">ROSALES-WYMA                  </t>
  </si>
  <si>
    <t xml:space="preserve">ATHWAL HARMOHINDER S  MD      </t>
  </si>
  <si>
    <t xml:space="preserve">ATHWAL HARMO                  </t>
  </si>
  <si>
    <t xml:space="preserve">MILLER LAURENCE A PHD         </t>
  </si>
  <si>
    <t xml:space="preserve">MILLER LAURE                  </t>
  </si>
  <si>
    <t xml:space="preserve">NAYAK MADHABIKA B PHD         </t>
  </si>
  <si>
    <t xml:space="preserve">NAYAK MADHAB                  </t>
  </si>
  <si>
    <t xml:space="preserve">EPPLER MARILYN J MFCC         </t>
  </si>
  <si>
    <t xml:space="preserve">EPPLER MARIL                  </t>
  </si>
  <si>
    <t xml:space="preserve">BALA MICHAEL MFCC             </t>
  </si>
  <si>
    <t xml:space="preserve">BALA MICHAEL                  </t>
  </si>
  <si>
    <t xml:space="preserve">JACKSON MARINA M MFT          </t>
  </si>
  <si>
    <t xml:space="preserve">JACKSON MARI                  </t>
  </si>
  <si>
    <t>ALAMEDA FAM SRV PROB YOUTH MHS</t>
  </si>
  <si>
    <t xml:space="preserve">ALAFAMSVPROB                  </t>
  </si>
  <si>
    <t xml:space="preserve">CHILDREN'S HOSP CATS MHS CH   </t>
  </si>
  <si>
    <t xml:space="preserve">CHO CATS                      </t>
  </si>
  <si>
    <t xml:space="preserve">GIRLS INC ADULT LEVEL III MHS </t>
  </si>
  <si>
    <t xml:space="preserve">GIRLS AD III                  </t>
  </si>
  <si>
    <t xml:space="preserve">CFC CHILD LEVEL III MHS       </t>
  </si>
  <si>
    <t xml:space="preserve">CFC CH LIII                   </t>
  </si>
  <si>
    <t xml:space="preserve">GIRLS INC NO ALA CO CHILD MHS </t>
  </si>
  <si>
    <t xml:space="preserve">GIRLS NO CHD                  </t>
  </si>
  <si>
    <t xml:space="preserve">GIRLS INC SO ALA CO CHILD MHS </t>
  </si>
  <si>
    <t xml:space="preserve">GIRLS SO CHD                  </t>
  </si>
  <si>
    <t xml:space="preserve">CFC ADULT LEVEL III MHS       </t>
  </si>
  <si>
    <t xml:space="preserve">CFC AD LIII                   </t>
  </si>
  <si>
    <t>CFC OUSD TRUANCY CTR CHILD MHS</t>
  </si>
  <si>
    <t xml:space="preserve">CFC TRUC CHD                  </t>
  </si>
  <si>
    <t xml:space="preserve">CFC PROBATION E OAK CHILD MHS </t>
  </si>
  <si>
    <t xml:space="preserve">CFCPROEOK CH                  </t>
  </si>
  <si>
    <t xml:space="preserve">PETERSON JAMIE K LCSW         </t>
  </si>
  <si>
    <t xml:space="preserve">PETERSON JAM                  </t>
  </si>
  <si>
    <t xml:space="preserve">CHILDREN'S HOSP SEED MHS CH   </t>
  </si>
  <si>
    <t xml:space="preserve">CHO SEED MHS                  </t>
  </si>
  <si>
    <t xml:space="preserve">RUE DAVID S MD                </t>
  </si>
  <si>
    <t xml:space="preserve">RUE DAVID                     </t>
  </si>
  <si>
    <t xml:space="preserve">BIEN RALPH D MD               </t>
  </si>
  <si>
    <t xml:space="preserve">BIEN RALPH D                  </t>
  </si>
  <si>
    <t xml:space="preserve">DAVID RENA MFCC               </t>
  </si>
  <si>
    <t xml:space="preserve">DAVID RENA                    </t>
  </si>
  <si>
    <t xml:space="preserve">MALEK EDGAR C MFCC            </t>
  </si>
  <si>
    <t xml:space="preserve">MALEK EDGAR                   </t>
  </si>
  <si>
    <t xml:space="preserve">STOEFFLER SUSAN A MFCC        </t>
  </si>
  <si>
    <t xml:space="preserve">STOEFFLER SU                  </t>
  </si>
  <si>
    <t xml:space="preserve">CLINICIAN GATEWAY TEST MHS AD </t>
  </si>
  <si>
    <t xml:space="preserve">CL GATE TEST                  </t>
  </si>
  <si>
    <t xml:space="preserve">TOYOHARA MARCIA A MFCC        </t>
  </si>
  <si>
    <t xml:space="preserve">TOYOHARA MAR                  </t>
  </si>
  <si>
    <t xml:space="preserve">JENKINS PAMELA L PHD          </t>
  </si>
  <si>
    <t xml:space="preserve">JENKINS PAME                  </t>
  </si>
  <si>
    <t xml:space="preserve">CSS SMITH SCHOOL MHS CHILD    </t>
  </si>
  <si>
    <t xml:space="preserve">CSS SMITH SC                  </t>
  </si>
  <si>
    <t xml:space="preserve">CHEYETTE  CATHERINE LCSW      </t>
  </si>
  <si>
    <t xml:space="preserve">CHEYETTE CAT                  </t>
  </si>
  <si>
    <t>BONITA HOUSE HOST MHS MHSA ADL</t>
  </si>
  <si>
    <t xml:space="preserve">BONITA HOST                   </t>
  </si>
  <si>
    <t xml:space="preserve">E BAY COMM CALWKS MHS ADL HAY </t>
  </si>
  <si>
    <t xml:space="preserve">EBCRPCALWORK                  </t>
  </si>
  <si>
    <t xml:space="preserve">FERREYRA ALEJANDRO J PHD      </t>
  </si>
  <si>
    <t xml:space="preserve">FERREYRA ALE                  </t>
  </si>
  <si>
    <t xml:space="preserve">MAA CBO Template              </t>
  </si>
  <si>
    <t xml:space="preserve">MAACBO                        </t>
  </si>
  <si>
    <t xml:space="preserve">STARLIGHT OUTPATIENT SVCS MHS </t>
  </si>
  <si>
    <t xml:space="preserve">STARLIGHTOPT                  </t>
  </si>
  <si>
    <t xml:space="preserve">SASTRY  MAYA                  </t>
  </si>
  <si>
    <t xml:space="preserve">SASTRY MAYA                   </t>
  </si>
  <si>
    <t xml:space="preserve">ROSS  CARMEL T MFT            </t>
  </si>
  <si>
    <t xml:space="preserve">ROSS CARMEL                   </t>
  </si>
  <si>
    <t xml:space="preserve">MIDDLETON  JEFFREY T LCSW     </t>
  </si>
  <si>
    <t xml:space="preserve">MIDDLETON JE                  </t>
  </si>
  <si>
    <t xml:space="preserve">STARLIGHT DAY TX INTEN FL MHS </t>
  </si>
  <si>
    <t xml:space="preserve">STARLIGHTDAY                  </t>
  </si>
  <si>
    <t>BONITA HOUSE HOST MHS AD PROGR</t>
  </si>
  <si>
    <t xml:space="preserve">BON HOSTPROG                  </t>
  </si>
  <si>
    <t xml:space="preserve">FAMILY SVC OF SL CALWORKS MHS </t>
  </si>
  <si>
    <t xml:space="preserve">FAMSVCSLCWKS                  </t>
  </si>
  <si>
    <t>PORTIA BELL HUME CALWKS MH FRE</t>
  </si>
  <si>
    <t xml:space="preserve">PHUMECLWKFRE                  </t>
  </si>
  <si>
    <t>CITY OF BERK FSP TRANS AGE YTH</t>
  </si>
  <si>
    <t xml:space="preserve">COBFSPTAYTIP                  </t>
  </si>
  <si>
    <t>PORTIA BELL HUME CALWKS MH HAY</t>
  </si>
  <si>
    <t xml:space="preserve">PHUMECLWKHAY                  </t>
  </si>
  <si>
    <t xml:space="preserve">CHAA CALWKS MHS FREMT         </t>
  </si>
  <si>
    <t xml:space="preserve">CHAA CLWKFR                   </t>
  </si>
  <si>
    <t xml:space="preserve">CHAA CALWKS MHS OAKLD         </t>
  </si>
  <si>
    <t xml:space="preserve">CHAA CLWKOAK                  </t>
  </si>
  <si>
    <t>CITY OF FREMONT FRC CALWKS MHS</t>
  </si>
  <si>
    <t xml:space="preserve">CTYFRMNTCLWK                  </t>
  </si>
  <si>
    <t>PATHWAYS TO WEL LEV3 PL AD MHS</t>
  </si>
  <si>
    <t xml:space="preserve">PW PLL3 ADMH                  </t>
  </si>
  <si>
    <t>SENECA HILLSIDE REH FL DY ACAD</t>
  </si>
  <si>
    <t xml:space="preserve">SENECAHILLSI                  </t>
  </si>
  <si>
    <t xml:space="preserve">SENECA CRAGMONT SCH MHS CHILD </t>
  </si>
  <si>
    <t xml:space="preserve">SENECACRAGMO                  </t>
  </si>
  <si>
    <t xml:space="preserve">HORTON KELLY L PHD            </t>
  </si>
  <si>
    <t xml:space="preserve">HORTON KELLY                  </t>
  </si>
  <si>
    <t>PSC HILLSIDE ACADEMY MHS CHILD</t>
  </si>
  <si>
    <t xml:space="preserve">PSC HILLSIDE                  </t>
  </si>
  <si>
    <t xml:space="preserve">FFYC SKYLINE H SCH MHS CHILD  </t>
  </si>
  <si>
    <t xml:space="preserve">FFYC SKY MHS                  </t>
  </si>
  <si>
    <t>FFYC WESTLAKE SCHOOL MHS CHILD</t>
  </si>
  <si>
    <t xml:space="preserve">FFYCWESLKMHS                  </t>
  </si>
  <si>
    <t>AIU CAL SCHOOL OF PROF PSYCHOL</t>
  </si>
  <si>
    <t xml:space="preserve">AIU CAL SCHL                  </t>
  </si>
  <si>
    <t xml:space="preserve">SCOTT AMY L MFCC              </t>
  </si>
  <si>
    <t xml:space="preserve">SCOTT AMY L                   </t>
  </si>
  <si>
    <t xml:space="preserve">KLANN LINDA L MFCC            </t>
  </si>
  <si>
    <t xml:space="preserve">KLANN LINDA                   </t>
  </si>
  <si>
    <t xml:space="preserve">REID STACY A MFCC             </t>
  </si>
  <si>
    <t xml:space="preserve">REID STACY A                  </t>
  </si>
  <si>
    <t xml:space="preserve">HUANG XIAOYU MD               </t>
  </si>
  <si>
    <t xml:space="preserve">HUANG XIAOYU                  </t>
  </si>
  <si>
    <t xml:space="preserve">CONLEY-JUNG CONNIE PHD        </t>
  </si>
  <si>
    <t xml:space="preserve">CONLEY-JUNG                   </t>
  </si>
  <si>
    <t xml:space="preserve">STARLIGHT TBS MHS             </t>
  </si>
  <si>
    <t xml:space="preserve">STARLIGHTTBS                  </t>
  </si>
  <si>
    <t xml:space="preserve">NGUYEN LINH N PHD             </t>
  </si>
  <si>
    <t xml:space="preserve">NGUYEN LINH                   </t>
  </si>
  <si>
    <t xml:space="preserve">PATHWAYS TO WELL PL CHILD MHS </t>
  </si>
  <si>
    <t xml:space="preserve">PATHWLPLCHLD                  </t>
  </si>
  <si>
    <t>CHILDREN'S HOSP MEDICATION CHD</t>
  </si>
  <si>
    <t xml:space="preserve">CHO MEDS CH                   </t>
  </si>
  <si>
    <t xml:space="preserve">CHARIS YTH CTR MHS CHILD      </t>
  </si>
  <si>
    <t xml:space="preserve">CHARIS MHS                    </t>
  </si>
  <si>
    <t xml:space="preserve">OUTKA NANCY M MFCC            </t>
  </si>
  <si>
    <t xml:space="preserve">OUTKA NANCY                   </t>
  </si>
  <si>
    <t xml:space="preserve">DAVIS BARBARA L MFCC          </t>
  </si>
  <si>
    <t xml:space="preserve">DAVIS BARBAR                  </t>
  </si>
  <si>
    <t xml:space="preserve">IRISH MICHELLE D LCSW         </t>
  </si>
  <si>
    <t xml:space="preserve">IRISH MICHEL                  </t>
  </si>
  <si>
    <t xml:space="preserve">VASQUEZ MANUEL J LCSW         </t>
  </si>
  <si>
    <t xml:space="preserve">VASQUEZ MANU                  </t>
  </si>
  <si>
    <t>PORTIA BELL HUME CALWKS L POSI</t>
  </si>
  <si>
    <t xml:space="preserve">PHUMECLWKLPO                  </t>
  </si>
  <si>
    <t>BONITA HOUSE FULL DAY REHAB AD</t>
  </si>
  <si>
    <t xml:space="preserve">BONHS FDYREH                  </t>
  </si>
  <si>
    <t>CHILDREN HC ESTHER CLK SCH MHS</t>
  </si>
  <si>
    <t xml:space="preserve">CHC ESTHER S                  </t>
  </si>
  <si>
    <t xml:space="preserve">WAREHAM  JULIE G MD           </t>
  </si>
  <si>
    <t xml:space="preserve">WAREHAM JUL                   </t>
  </si>
  <si>
    <t>CHARIS YTH CTR FL DAY REHAB CH</t>
  </si>
  <si>
    <t xml:space="preserve">CHARIS FL DY                  </t>
  </si>
  <si>
    <t xml:space="preserve">ABODE SVCS GREATER HOPE FSP   </t>
  </si>
  <si>
    <t xml:space="preserve">ABODE GH FSP                  </t>
  </si>
  <si>
    <t xml:space="preserve">ABODE SERVICES STAY MHS       </t>
  </si>
  <si>
    <t xml:space="preserve">ABODE STAY                    </t>
  </si>
  <si>
    <t xml:space="preserve">JDT CONSULTANTS TBS CHILD     </t>
  </si>
  <si>
    <t xml:space="preserve">JDT TBS CHLD                  </t>
  </si>
  <si>
    <t xml:space="preserve">HAVEL THOMAS MD               </t>
  </si>
  <si>
    <t xml:space="preserve">HAVEL THOMAS                  </t>
  </si>
  <si>
    <t xml:space="preserve">JDT CONSULTANTS INC TBS CHILD </t>
  </si>
  <si>
    <t xml:space="preserve">JDT INCTBSCH                  </t>
  </si>
  <si>
    <t xml:space="preserve">RAO KAVITHA MD                </t>
  </si>
  <si>
    <t xml:space="preserve">RAO KAVITHA                   </t>
  </si>
  <si>
    <t xml:space="preserve">DE FRANK VINCENT J LCSW       </t>
  </si>
  <si>
    <t xml:space="preserve">DE FRANK VIN                  </t>
  </si>
  <si>
    <t xml:space="preserve">ERWIN RACHEL A MFCC           </t>
  </si>
  <si>
    <t xml:space="preserve">ERWIN RACHEL                  </t>
  </si>
  <si>
    <t xml:space="preserve">SCHWITTERS DONNA MFCC         </t>
  </si>
  <si>
    <t xml:space="preserve">SCHWITTERS D                  </t>
  </si>
  <si>
    <t xml:space="preserve">MARTINELLI SEVICK CAROLE MFCC </t>
  </si>
  <si>
    <t xml:space="preserve">MARTINELLI C                  </t>
  </si>
  <si>
    <t xml:space="preserve">FAIR NAOMI A MFCC             </t>
  </si>
  <si>
    <t xml:space="preserve">FAIR NAOMI A                  </t>
  </si>
  <si>
    <t xml:space="preserve">TRI-CITY HEALTH CENTER GRP    </t>
  </si>
  <si>
    <t xml:space="preserve">TRICITY HLTH                  </t>
  </si>
  <si>
    <t>SENECA CTR WILLOW ROCK MHS CHD</t>
  </si>
  <si>
    <t xml:space="preserve">SEN WILROCK                   </t>
  </si>
  <si>
    <t>CHARIS DY TREAT INTENSIVE FULL</t>
  </si>
  <si>
    <t xml:space="preserve">CHARISDYINTS                  </t>
  </si>
  <si>
    <t>TELECARE WILLOW ROCK PHF CHILD</t>
  </si>
  <si>
    <t xml:space="preserve">TELE WILROCK                  </t>
  </si>
  <si>
    <t xml:space="preserve">CITY OF FREMONT HSD MHS ADULT </t>
  </si>
  <si>
    <t xml:space="preserve">CTYFREMONTHS                  </t>
  </si>
  <si>
    <t xml:space="preserve">SETTINGSGARD COLLEEN A MFCC   </t>
  </si>
  <si>
    <t xml:space="preserve">SETTINGSGARD                  </t>
  </si>
  <si>
    <t xml:space="preserve">BROWN MONICA M MFCC           </t>
  </si>
  <si>
    <t xml:space="preserve">BROWN MONICA                  </t>
  </si>
  <si>
    <t xml:space="preserve">RODRIGUES PATRICIA A MFCC     </t>
  </si>
  <si>
    <t xml:space="preserve">RODRIGUES PA                  </t>
  </si>
  <si>
    <t xml:space="preserve">MAYS-MIREMBE MOSI M MFCC      </t>
  </si>
  <si>
    <t xml:space="preserve">MAYS MOSI                     </t>
  </si>
  <si>
    <t xml:space="preserve">LYMAN DEBRA R LCSW            </t>
  </si>
  <si>
    <t xml:space="preserve">LYMAN DEBRA                   </t>
  </si>
  <si>
    <t>MEDICAL HILL SNF DAY AUGMENTAT</t>
  </si>
  <si>
    <t xml:space="preserve">MEDHILL SNFD                  </t>
  </si>
  <si>
    <t>BACS MHSA NORTH CO SR HOMELESS</t>
  </si>
  <si>
    <t xml:space="preserve">BACSNOCOSRHP                  </t>
  </si>
  <si>
    <t>BACS MHSA NO CO SR HOMELESS PR</t>
  </si>
  <si>
    <t xml:space="preserve">BACSSRHOM P                   </t>
  </si>
  <si>
    <t>ABODE SVCS GREATER HOPE FSP PR</t>
  </si>
  <si>
    <t xml:space="preserve">ABODEGHFSPPR                  </t>
  </si>
  <si>
    <t xml:space="preserve">GLASS EPSDT MHS CHILD         </t>
  </si>
  <si>
    <t xml:space="preserve">GLASSEPSDTCH                  </t>
  </si>
  <si>
    <t xml:space="preserve">COB FFYC FSP INT SPT SVC PROG </t>
  </si>
  <si>
    <t xml:space="preserve">COBFFYFSP                     </t>
  </si>
  <si>
    <t>COB YOUTH EMERGENCY ASST HOSTE</t>
  </si>
  <si>
    <t xml:space="preserve">COB YEAH                      </t>
  </si>
  <si>
    <t xml:space="preserve">RICKRODE CHRIS MFCC           </t>
  </si>
  <si>
    <t xml:space="preserve">RICKRODE CHR                  </t>
  </si>
  <si>
    <t xml:space="preserve">MH COURT ADVOCATES ADULT MHS  </t>
  </si>
  <si>
    <t xml:space="preserve">MH CT ADVOCA                  </t>
  </si>
  <si>
    <t xml:space="preserve">STARS BAY ELEM SCH MHS        </t>
  </si>
  <si>
    <t xml:space="preserve">STARSBAYELEM                  </t>
  </si>
  <si>
    <t xml:space="preserve">STARS CORVALLIS SCH MHS       </t>
  </si>
  <si>
    <t xml:space="preserve">STARSCORVALL                  </t>
  </si>
  <si>
    <t>CITY BERK FSP TRANS AG YTH PRG</t>
  </si>
  <si>
    <t xml:space="preserve">COBFSP TAY P                  </t>
  </si>
  <si>
    <t xml:space="preserve">EMQ CENTERVILLE SCH MHS CHILD </t>
  </si>
  <si>
    <t xml:space="preserve">EMQ CENT SCH                  </t>
  </si>
  <si>
    <t>EMQ HARVEY GREEN SCH MHS CHILD</t>
  </si>
  <si>
    <t xml:space="preserve">EMQ GREENSCH                  </t>
  </si>
  <si>
    <t xml:space="preserve">REYES ATMAN R MD              </t>
  </si>
  <si>
    <t xml:space="preserve">REYES ATMAN                   </t>
  </si>
  <si>
    <t xml:space="preserve">GUTTERMAN PETER MFCC          </t>
  </si>
  <si>
    <t xml:space="preserve">GUTTERMAN P                   </t>
  </si>
  <si>
    <t xml:space="preserve">SAGER RONALD R MD             </t>
  </si>
  <si>
    <t xml:space="preserve">SAGER RONALD                  </t>
  </si>
  <si>
    <t xml:space="preserve">BEEK AMY LCSW                 </t>
  </si>
  <si>
    <t xml:space="preserve">BEEK AMY                      </t>
  </si>
  <si>
    <t xml:space="preserve">SERKIN EMILY PHD              </t>
  </si>
  <si>
    <t xml:space="preserve">SERKIN EMILY                  </t>
  </si>
  <si>
    <t xml:space="preserve">QUANDT DOROTHY MFT            </t>
  </si>
  <si>
    <t xml:space="preserve">QUANDT DOTHY                  </t>
  </si>
  <si>
    <t xml:space="preserve">SYLVESTER VILMA MFCC          </t>
  </si>
  <si>
    <t xml:space="preserve">SYLVESTER V                   </t>
  </si>
  <si>
    <t xml:space="preserve">DANIELS ALFREDA MFCC          </t>
  </si>
  <si>
    <t xml:space="preserve">DANIELS ALFR                  </t>
  </si>
  <si>
    <t xml:space="preserve">STERN WILLOW MFCC             </t>
  </si>
  <si>
    <t xml:space="preserve">STERN WILLOW                  </t>
  </si>
  <si>
    <t xml:space="preserve">ODZA ELLEN MFCC               </t>
  </si>
  <si>
    <t xml:space="preserve">ODZA ELLEN                    </t>
  </si>
  <si>
    <t xml:space="preserve">BAKALINSKY MIMI MFCC          </t>
  </si>
  <si>
    <t xml:space="preserve">BAKALINSKY M                  </t>
  </si>
  <si>
    <t xml:space="preserve">BERNSTEIN SUSAN MFCC          </t>
  </si>
  <si>
    <t xml:space="preserve">BERNSTEIN SU                  </t>
  </si>
  <si>
    <t xml:space="preserve">MCLAUGHLIN CLARE MFCC         </t>
  </si>
  <si>
    <t xml:space="preserve">MCLAUGHLIN C                  </t>
  </si>
  <si>
    <t>PORTIA BELL MHS CHLD PITTSBURG</t>
  </si>
  <si>
    <t xml:space="preserve">PORTBCHDPITT                  </t>
  </si>
  <si>
    <t xml:space="preserve">CRANSHAW CHERYL R MFT         </t>
  </si>
  <si>
    <t xml:space="preserve">CRANSHAW CHE                  </t>
  </si>
  <si>
    <t xml:space="preserve">GIRLS INC CHD MHS OAK TECH    </t>
  </si>
  <si>
    <t xml:space="preserve">GIRLS CH OAK                  </t>
  </si>
  <si>
    <t xml:space="preserve">SHERIFF YFSB MHS ADULT        </t>
  </si>
  <si>
    <t xml:space="preserve">SHRF YFSB AD                  </t>
  </si>
  <si>
    <t xml:space="preserve">GIRLS INC CHD MHS FREMONT FED </t>
  </si>
  <si>
    <t xml:space="preserve">GIRLS CH FRE                  </t>
  </si>
  <si>
    <t xml:space="preserve">SMIRNOFF ALEX MD              </t>
  </si>
  <si>
    <t xml:space="preserve">SMIRNOFF ALX                  </t>
  </si>
  <si>
    <t xml:space="preserve">CITY OF BERKELEY CHLD AB3632  </t>
  </si>
  <si>
    <t xml:space="preserve">COB AB3632                    </t>
  </si>
  <si>
    <t xml:space="preserve">CAMPBELL ORA MFCC             </t>
  </si>
  <si>
    <t xml:space="preserve">CAMPBELL ORA                  </t>
  </si>
  <si>
    <t xml:space="preserve">E BAY COMM REC MHSA FACT PR   </t>
  </si>
  <si>
    <t xml:space="preserve">EBCRPFACT P                   </t>
  </si>
  <si>
    <t xml:space="preserve">E BAY COMM REC PROJ MHSA FACT </t>
  </si>
  <si>
    <t xml:space="preserve">EBCRP FACT                    </t>
  </si>
  <si>
    <t xml:space="preserve">STANTE CAROL MD               </t>
  </si>
  <si>
    <t xml:space="preserve">STANTE CAROL                  </t>
  </si>
  <si>
    <t xml:space="preserve">MORRIS LYNNELL LCSW           </t>
  </si>
  <si>
    <t xml:space="preserve">MORRIS LYNNE                  </t>
  </si>
  <si>
    <t xml:space="preserve">BLOOM ERIKA P  MFT            </t>
  </si>
  <si>
    <t xml:space="preserve">BLOOM ERIKA                   </t>
  </si>
  <si>
    <t xml:space="preserve">FORER BONNIE MFCC             </t>
  </si>
  <si>
    <t xml:space="preserve">FORER BONNIE                  </t>
  </si>
  <si>
    <t xml:space="preserve">'TARS TAY PROGRAM             </t>
  </si>
  <si>
    <t xml:space="preserve">STARS TAYPRG                  </t>
  </si>
  <si>
    <t xml:space="preserve">RUTHS STEVEN MD               </t>
  </si>
  <si>
    <t xml:space="preserve">RUTHS STEVEN                  </t>
  </si>
  <si>
    <t xml:space="preserve">SENECA BERKELEY HIGH MHS CHLD </t>
  </si>
  <si>
    <t xml:space="preserve">SEN BRKHG CH                  </t>
  </si>
  <si>
    <t>CRIMINAL JUSTICE BH COURT ADLT</t>
  </si>
  <si>
    <t xml:space="preserve">CJBHCORTADLT                  </t>
  </si>
  <si>
    <t xml:space="preserve">E BAY COMM REC TRACT MHSA FSP </t>
  </si>
  <si>
    <t xml:space="preserve">EBCRP TRACT                   </t>
  </si>
  <si>
    <t>STARS GRANT ELEM SCH MHS CHILD</t>
  </si>
  <si>
    <t xml:space="preserve">STARSGRANTSC                  </t>
  </si>
  <si>
    <t>SENECA MDLA&amp;ARCH SCH REH FL DY</t>
  </si>
  <si>
    <t xml:space="preserve">SEN MDLA ARC                  </t>
  </si>
  <si>
    <t xml:space="preserve">SVENSSON TRAVIS MD            </t>
  </si>
  <si>
    <t xml:space="preserve">SVENSSON TRV                  </t>
  </si>
  <si>
    <t xml:space="preserve">PAI SEEMA PHD                 </t>
  </si>
  <si>
    <t xml:space="preserve">PAI SEEMA                     </t>
  </si>
  <si>
    <t>AIU PSC CHRISTENSEN SCH MHS CH</t>
  </si>
  <si>
    <t xml:space="preserve">AIU CHRST SC                  </t>
  </si>
  <si>
    <t xml:space="preserve">PORTER AMON O LCSW            </t>
  </si>
  <si>
    <t xml:space="preserve">PORTER AMON                   </t>
  </si>
  <si>
    <t xml:space="preserve">PORTIA BELL HUME ADULT LEVIII </t>
  </si>
  <si>
    <t xml:space="preserve">PORBEL ADL3                   </t>
  </si>
  <si>
    <t xml:space="preserve">PORTIA BELL HUME MHS CHILD    </t>
  </si>
  <si>
    <t xml:space="preserve">PORBELMHSCHD                  </t>
  </si>
  <si>
    <t xml:space="preserve">SENECA MLK MID BERK CEC CHD   </t>
  </si>
  <si>
    <t xml:space="preserve">SENECAMLKCEC                  </t>
  </si>
  <si>
    <t>UNITY CARE FLDYINT SALINAS CLD</t>
  </si>
  <si>
    <t xml:space="preserve">UNITYCFDYITS                  </t>
  </si>
  <si>
    <t xml:space="preserve">UNITY CARE MHS CHILD SALINAS  </t>
  </si>
  <si>
    <t xml:space="preserve">UNITYCMHSCDS                  </t>
  </si>
  <si>
    <t xml:space="preserve">UNITY CARE TBS CHILD SALINAS  </t>
  </si>
  <si>
    <t xml:space="preserve">UNITYCTBSCDS                  </t>
  </si>
  <si>
    <t xml:space="preserve">CLAYMAN ALYSE LCSW            </t>
  </si>
  <si>
    <t xml:space="preserve">CLAYMAN ALYS                  </t>
  </si>
  <si>
    <t xml:space="preserve">DASILVA NATALIE MFT           </t>
  </si>
  <si>
    <t xml:space="preserve">DASILVA NATA                  </t>
  </si>
  <si>
    <t xml:space="preserve">FAIR GARDNER H  MFT           </t>
  </si>
  <si>
    <t xml:space="preserve">FAIR GARDNER                  </t>
  </si>
  <si>
    <t xml:space="preserve">VICTOR CSS STOCKTON MHS CHILD </t>
  </si>
  <si>
    <t xml:space="preserve">VCSSSTOCKMHS                  </t>
  </si>
  <si>
    <t xml:space="preserve">LANG RITA A  MFT              </t>
  </si>
  <si>
    <t xml:space="preserve">LANG RITA                     </t>
  </si>
  <si>
    <t xml:space="preserve">VICTOR CSS STOCKTON TBS CHILD </t>
  </si>
  <si>
    <t xml:space="preserve">VCSSSTOCKTBS                  </t>
  </si>
  <si>
    <t xml:space="preserve">FARROHI PARISSA LCSW          </t>
  </si>
  <si>
    <t xml:space="preserve">FARROHI PARI                  </t>
  </si>
  <si>
    <t xml:space="preserve">BEBAN MARYLOU LCSW            </t>
  </si>
  <si>
    <t xml:space="preserve">BEBAN MARYLO                  </t>
  </si>
  <si>
    <t xml:space="preserve">HOLLIDAY TINA MFT             </t>
  </si>
  <si>
    <t xml:space="preserve">HOLLIDAY TIN                  </t>
  </si>
  <si>
    <t xml:space="preserve">BYRD MAZU MFT                 </t>
  </si>
  <si>
    <t xml:space="preserve">BYRD MAZU                     </t>
  </si>
  <si>
    <t xml:space="preserve">FREEDMAN ROBERT MFT           </t>
  </si>
  <si>
    <t xml:space="preserve">FREEDMAN ROB                  </t>
  </si>
  <si>
    <t xml:space="preserve">REMINGTON MARY MFT            </t>
  </si>
  <si>
    <t xml:space="preserve">REMINGTON MA                  </t>
  </si>
  <si>
    <t xml:space="preserve">SAMLAN DAVID R MFT            </t>
  </si>
  <si>
    <t xml:space="preserve">SANLAN DAVID                  </t>
  </si>
  <si>
    <t xml:space="preserve">BURNS HEATHER LCSW            </t>
  </si>
  <si>
    <t xml:space="preserve">BURNS HEATHE                  </t>
  </si>
  <si>
    <t xml:space="preserve">TOONDER CRAIG A MFT           </t>
  </si>
  <si>
    <t xml:space="preserve">TOONDER CRAI                  </t>
  </si>
  <si>
    <t xml:space="preserve">REFUGE LOMA VISTA MHS CHILD   </t>
  </si>
  <si>
    <t xml:space="preserve">REFUGE LMAVS                  </t>
  </si>
  <si>
    <t xml:space="preserve">STARS BETA PROGRAM MHS TAY    </t>
  </si>
  <si>
    <t xml:space="preserve">STAR BETA TY                  </t>
  </si>
  <si>
    <t xml:space="preserve">JOHNSON CLAUDIUS R LCSW       </t>
  </si>
  <si>
    <t xml:space="preserve">JHNSON CLADS                  </t>
  </si>
  <si>
    <t xml:space="preserve">SAVIN HELEN R LCSW            </t>
  </si>
  <si>
    <t xml:space="preserve">SAVIN HELEN                   </t>
  </si>
  <si>
    <t xml:space="preserve">BURT CENTER CHILD MHS         </t>
  </si>
  <si>
    <t xml:space="preserve">BURT CTR CHD                  </t>
  </si>
  <si>
    <t xml:space="preserve">DVALERY RENE F MFT            </t>
  </si>
  <si>
    <t xml:space="preserve">DVALERY RENE                  </t>
  </si>
  <si>
    <t xml:space="preserve">WALKER ELEANOR J MFT          </t>
  </si>
  <si>
    <t xml:space="preserve">WALKER ELNOR                  </t>
  </si>
  <si>
    <t xml:space="preserve">GENTRY-GOODWIN ELECTRA U LCSW </t>
  </si>
  <si>
    <t xml:space="preserve">GENTRY GOODW                  </t>
  </si>
  <si>
    <t xml:space="preserve">CAMPOS MARC A LCSW            </t>
  </si>
  <si>
    <t xml:space="preserve">CAMPOS MARC                   </t>
  </si>
  <si>
    <t xml:space="preserve">WILHITE LIGHTFOOT LCSW        </t>
  </si>
  <si>
    <t xml:space="preserve">WILHITE LIGH                  </t>
  </si>
  <si>
    <t xml:space="preserve">SHALLAT JENNIFER T LCSW       </t>
  </si>
  <si>
    <t xml:space="preserve">SHALLAT JENN                  </t>
  </si>
  <si>
    <t xml:space="preserve">LIGNELL DEBBIE A  MFT         </t>
  </si>
  <si>
    <t xml:space="preserve">LIGNELL DEBB                  </t>
  </si>
  <si>
    <t xml:space="preserve">PHILIPS ALICE R  MFT          </t>
  </si>
  <si>
    <t xml:space="preserve">PHILIPS ALIC                  </t>
  </si>
  <si>
    <t xml:space="preserve">KING KELLI A MFT              </t>
  </si>
  <si>
    <t xml:space="preserve">KING KELLI                    </t>
  </si>
  <si>
    <t xml:space="preserve">JACOBSEN WENDY M MFT          </t>
  </si>
  <si>
    <t xml:space="preserve">JACOBSEN WEN                  </t>
  </si>
  <si>
    <t>SENECA WILLOWROCK CRISISINT CH</t>
  </si>
  <si>
    <t xml:space="preserve">SEN WROCK CR                  </t>
  </si>
  <si>
    <t>WEST COAST PROJECT 1959 MHS CH</t>
  </si>
  <si>
    <t xml:space="preserve">WCOAST PROJE                  </t>
  </si>
  <si>
    <t xml:space="preserve">ORREN CLARKE PAMELA M PHD     </t>
  </si>
  <si>
    <t xml:space="preserve">ORREN CLARKE                  </t>
  </si>
  <si>
    <t xml:space="preserve">TSAI SHUFANG PHD              </t>
  </si>
  <si>
    <t xml:space="preserve">TSAI SHUFANG                  </t>
  </si>
  <si>
    <t xml:space="preserve">CITY OF BERK ACT 2 AD SVC     </t>
  </si>
  <si>
    <t xml:space="preserve">COB ACT 2                     </t>
  </si>
  <si>
    <t xml:space="preserve">THE WRIGHT INSTITUTE          </t>
  </si>
  <si>
    <t xml:space="preserve">WRIGHT INST                   </t>
  </si>
  <si>
    <t xml:space="preserve">COLLADAY JONATHAN MFT         </t>
  </si>
  <si>
    <t xml:space="preserve">COLLADAY JON                  </t>
  </si>
  <si>
    <t xml:space="preserve">SCOTT APRIL LCSW              </t>
  </si>
  <si>
    <t xml:space="preserve">SCOTT APRIL                   </t>
  </si>
  <si>
    <t xml:space="preserve">HORTON MICHELLE PHD           </t>
  </si>
  <si>
    <t xml:space="preserve">HORTON MICHE                  </t>
  </si>
  <si>
    <t xml:space="preserve">SIERRA VISTA SCENIC MHS CHILD </t>
  </si>
  <si>
    <t xml:space="preserve">SRAVSTSCEMHS                  </t>
  </si>
  <si>
    <t>SIERRAVISTA SCENIC FLDY REH CH</t>
  </si>
  <si>
    <t xml:space="preserve">SRAVSTSCEREH                  </t>
  </si>
  <si>
    <t xml:space="preserve">SIERRA VISTA FINNEY MHS CHILD </t>
  </si>
  <si>
    <t xml:space="preserve">SRAVSTFINMHS                  </t>
  </si>
  <si>
    <t>LINCOLN CHD PROJECT PERMANENCE</t>
  </si>
  <si>
    <t xml:space="preserve">LINCPROJPERM                  </t>
  </si>
  <si>
    <t xml:space="preserve">WEST COAST CATCH 21 MHS CHILD </t>
  </si>
  <si>
    <t xml:space="preserve">WCOAST CATCH                  </t>
  </si>
  <si>
    <t xml:space="preserve">AURIC ROBERT MD               </t>
  </si>
  <si>
    <t xml:space="preserve">AURIC ROBERT                  </t>
  </si>
  <si>
    <t>SIERRAVISTA FINNEY FLDY REH CH</t>
  </si>
  <si>
    <t xml:space="preserve">SRAVSTFINFLR                  </t>
  </si>
  <si>
    <t xml:space="preserve">BOND JANE T MFT               </t>
  </si>
  <si>
    <t xml:space="preserve">BOND JANE                     </t>
  </si>
  <si>
    <t xml:space="preserve">GLUECK TINA V PHD             </t>
  </si>
  <si>
    <t xml:space="preserve">GLUECK TINA                   </t>
  </si>
  <si>
    <t xml:space="preserve">ELMORE JOYCE C  PHD           </t>
  </si>
  <si>
    <t xml:space="preserve">ELMORE JOYCE                  </t>
  </si>
  <si>
    <t xml:space="preserve">CHIU SUFEN MD                 </t>
  </si>
  <si>
    <t xml:space="preserve">CHIU SUFEN                    </t>
  </si>
  <si>
    <t xml:space="preserve">MITCHELL HELAINE N MFT        </t>
  </si>
  <si>
    <t xml:space="preserve">MITCHELL HEL                  </t>
  </si>
  <si>
    <t xml:space="preserve">ROYAL DIANE MFT               </t>
  </si>
  <si>
    <t xml:space="preserve">ROYAL DIANE                   </t>
  </si>
  <si>
    <t xml:space="preserve">UNITY CARE TBS CHILD SAN JOSE </t>
  </si>
  <si>
    <t xml:space="preserve">UNITYCTBS SJ                  </t>
  </si>
  <si>
    <t xml:space="preserve">UNITY CARE MHS CHILD SAN JOSE </t>
  </si>
  <si>
    <t xml:space="preserve">UNITYCMHS CH                  </t>
  </si>
  <si>
    <t xml:space="preserve">SUNBRIDGE HARBOR VIEW TBS     </t>
  </si>
  <si>
    <t xml:space="preserve">SUNB TBS                      </t>
  </si>
  <si>
    <t>SUNBRIDGE H VIEW FLDY INT CHLD</t>
  </si>
  <si>
    <t xml:space="preserve">SUNB FLINTDY                  </t>
  </si>
  <si>
    <t xml:space="preserve">SUNBRIDGE H VIEW MHS CHILD    </t>
  </si>
  <si>
    <t xml:space="preserve">SUNB MHS CHD                  </t>
  </si>
  <si>
    <t xml:space="preserve">YOUTH UPRISING MHS TAY        </t>
  </si>
  <si>
    <t xml:space="preserve">YTHUPRIS TAY                  </t>
  </si>
  <si>
    <t xml:space="preserve">EBAC THERP NURS SCH MHS CHILD </t>
  </si>
  <si>
    <t xml:space="preserve">EBACTHRPNURS                  </t>
  </si>
  <si>
    <t xml:space="preserve">EBAC NEW HAVEN SCHOOL CHILD   </t>
  </si>
  <si>
    <t xml:space="preserve">EBAC NEWHAV                   </t>
  </si>
  <si>
    <t>STARS COLE MIDDLE SCH MHS CHLD</t>
  </si>
  <si>
    <t xml:space="preserve">STARS COLE                    </t>
  </si>
  <si>
    <t xml:space="preserve">STARS KIPP SCH MHS CHILD      </t>
  </si>
  <si>
    <t xml:space="preserve">STARS KIPP S                  </t>
  </si>
  <si>
    <t xml:space="preserve">STARS WEST OAK SCH MHS CHILD  </t>
  </si>
  <si>
    <t xml:space="preserve">STARS WESTOK                  </t>
  </si>
  <si>
    <t>STAR VIEW ADOLESCENT PHF CHILD</t>
  </si>
  <si>
    <t xml:space="preserve">STARVIEW PHF                  </t>
  </si>
  <si>
    <t>STAR VIEW INTEN DY TX FL CHILD</t>
  </si>
  <si>
    <t xml:space="preserve">STARVW DY IN                  </t>
  </si>
  <si>
    <t xml:space="preserve">STAR VIEW MHS CHILD           </t>
  </si>
  <si>
    <t xml:space="preserve">STARVW MHSCD                  </t>
  </si>
  <si>
    <t xml:space="preserve">STAR VIEW TBS CHILD           </t>
  </si>
  <si>
    <t xml:space="preserve">STARVIEW TBS                  </t>
  </si>
  <si>
    <t xml:space="preserve">KEOUGH KIMBERLY A PH D        </t>
  </si>
  <si>
    <t xml:space="preserve">KEOUCH KIMBE                  </t>
  </si>
  <si>
    <t xml:space="preserve">CALVILLO NAIMA MFT            </t>
  </si>
  <si>
    <t xml:space="preserve">CALVILLO NAI                  </t>
  </si>
  <si>
    <t xml:space="preserve">RAGUCCI ROBERT P MFT          </t>
  </si>
  <si>
    <t xml:space="preserve">RAGUCCI ROBE                  </t>
  </si>
  <si>
    <t xml:space="preserve">TAMM STACY J MFT              </t>
  </si>
  <si>
    <t xml:space="preserve">TAMM STACY                    </t>
  </si>
  <si>
    <t xml:space="preserve">MEAGHER KENNETH R MFT         </t>
  </si>
  <si>
    <t xml:space="preserve">MEAGHER KEN                   </t>
  </si>
  <si>
    <t xml:space="preserve">SIMINOSKI TED MFT             </t>
  </si>
  <si>
    <t xml:space="preserve">SIMINOSKI TD                  </t>
  </si>
  <si>
    <t xml:space="preserve">MCQUILLIN SANDRA MFT          </t>
  </si>
  <si>
    <t xml:space="preserve">MCQUILLIN SA                  </t>
  </si>
  <si>
    <t xml:space="preserve">BLESSING-CAFFE BERNADETTE MFT </t>
  </si>
  <si>
    <t xml:space="preserve">BLESSING BER                  </t>
  </si>
  <si>
    <t xml:space="preserve">KATZMILLER WOWLVENN MFT       </t>
  </si>
  <si>
    <t xml:space="preserve">KATZMILLER W                  </t>
  </si>
  <si>
    <t xml:space="preserve">RUCKER SHANNON S MFT          </t>
  </si>
  <si>
    <t xml:space="preserve">RUCKER SHAN                   </t>
  </si>
  <si>
    <t xml:space="preserve">WINN ANNA B LCSW              </t>
  </si>
  <si>
    <t xml:space="preserve">WINN ANNA                     </t>
  </si>
  <si>
    <t xml:space="preserve">PERNET KAREN LCSW             </t>
  </si>
  <si>
    <t xml:space="preserve">PERNET KAREN                  </t>
  </si>
  <si>
    <t xml:space="preserve">GALLAGHER SHIRA LCSW          </t>
  </si>
  <si>
    <t xml:space="preserve">GALLAGHER SH                  </t>
  </si>
  <si>
    <t xml:space="preserve">BISSELL JENNIFER LCSW         </t>
  </si>
  <si>
    <t xml:space="preserve">BISSELL JENN                  </t>
  </si>
  <si>
    <t xml:space="preserve">GRACER JAMES MD               </t>
  </si>
  <si>
    <t xml:space="preserve">GRACER JAMES                  </t>
  </si>
  <si>
    <t xml:space="preserve">PORTER KRISTIN A MFT          </t>
  </si>
  <si>
    <t xml:space="preserve">PORTER KRSTN                  </t>
  </si>
  <si>
    <t xml:space="preserve">WEST COAST C-CHANGE MHS CHILD </t>
  </si>
  <si>
    <t xml:space="preserve">WCOASTCCHNGE                  </t>
  </si>
  <si>
    <t xml:space="preserve">VINE LISA S LCSW              </t>
  </si>
  <si>
    <t xml:space="preserve">VINE LISA                     </t>
  </si>
  <si>
    <t xml:space="preserve">ALAMEDA FAM SRV EARLY CH MHS  </t>
  </si>
  <si>
    <t xml:space="preserve">ALAFAMSVERCH                  </t>
  </si>
  <si>
    <t xml:space="preserve">E BAY COMM REC PROJ MHS CHILD </t>
  </si>
  <si>
    <t xml:space="preserve">EBCRP MHS CH                  </t>
  </si>
  <si>
    <t xml:space="preserve">SENECA CTRVILLE JH REH FL DAY </t>
  </si>
  <si>
    <t xml:space="preserve">SENECACTRVIL                  </t>
  </si>
  <si>
    <t xml:space="preserve">SENECA H GREEN SCH REH FL DAY </t>
  </si>
  <si>
    <t xml:space="preserve">SENECAHRVYGR                  </t>
  </si>
  <si>
    <t xml:space="preserve">SHERIFF YFSB MHS CHILD        </t>
  </si>
  <si>
    <t xml:space="preserve">SHRFYFSBMHS                   </t>
  </si>
  <si>
    <t>THUNDER ROAD COMM SERV MHS CHD</t>
  </si>
  <si>
    <t xml:space="preserve">THNDR COMMSV                  </t>
  </si>
  <si>
    <t>THUNDER ROAD CONT CARE MHS CHD</t>
  </si>
  <si>
    <t xml:space="preserve">THNDR CONTCR                  </t>
  </si>
  <si>
    <t>STARS KIPP SUMMIT ACDMY MHS CH</t>
  </si>
  <si>
    <t xml:space="preserve">STARSKIPACDM                  </t>
  </si>
  <si>
    <t xml:space="preserve">STARS PARK ELEM SCH MHS CHILD </t>
  </si>
  <si>
    <t xml:space="preserve">STARSPARKSCH                  </t>
  </si>
  <si>
    <t>CHILDREN'S LEARNING ES MHS CHD</t>
  </si>
  <si>
    <t xml:space="preserve">CLC ESMHCHLD                  </t>
  </si>
  <si>
    <t xml:space="preserve">BALBONI REBEKAH F LCSW        </t>
  </si>
  <si>
    <t xml:space="preserve">BALBONI REB                   </t>
  </si>
  <si>
    <t>A BETTER WAY ALAMEDA SCH MH CH</t>
  </si>
  <si>
    <t xml:space="preserve">BETTERWAY CH                  </t>
  </si>
  <si>
    <t xml:space="preserve">ZEISLOFT CARA J LCSW          </t>
  </si>
  <si>
    <t xml:space="preserve">ZEISLOFT CAR                  </t>
  </si>
  <si>
    <t xml:space="preserve">SHIDLOV-COHEN DIKLA PHD       </t>
  </si>
  <si>
    <t xml:space="preserve">SHIDLOV DIKL                  </t>
  </si>
  <si>
    <t xml:space="preserve">GAMEZ CORINNA MD              </t>
  </si>
  <si>
    <t xml:space="preserve">GAMES CORINA                  </t>
  </si>
  <si>
    <t xml:space="preserve">FAMILY CTR FOR SEX ABUSE GRP  </t>
  </si>
  <si>
    <t xml:space="preserve">FMLY CTR SEX                  </t>
  </si>
  <si>
    <t>SENECA WILOWRCK CRISIS STAB CH</t>
  </si>
  <si>
    <t xml:space="preserve">SENWRK CR ST                  </t>
  </si>
  <si>
    <t xml:space="preserve">SAMUELS KIMALLY MFT           </t>
  </si>
  <si>
    <t xml:space="preserve">SAMUELS KIMA                  </t>
  </si>
  <si>
    <t xml:space="preserve">JONES JAMES R. MD             </t>
  </si>
  <si>
    <t xml:space="preserve">JONES JAMES                   </t>
  </si>
  <si>
    <t xml:space="preserve">ZELLER SCOTT MD               </t>
  </si>
  <si>
    <t xml:space="preserve">ZELLER SCOTT                  </t>
  </si>
  <si>
    <t xml:space="preserve">BURKETT PAMELA M MFT          </t>
  </si>
  <si>
    <t xml:space="preserve">BURKETT PMLA                  </t>
  </si>
  <si>
    <t xml:space="preserve">UDDIN AZEZA B MD              </t>
  </si>
  <si>
    <t xml:space="preserve">UDDIN AZEZA                   </t>
  </si>
  <si>
    <t xml:space="preserve">PATEL RAJENDRA MD             </t>
  </si>
  <si>
    <t xml:space="preserve">PATEL RAJEND                  </t>
  </si>
  <si>
    <t xml:space="preserve">PETERSEN KARLA M MD           </t>
  </si>
  <si>
    <t xml:space="preserve">PETERSEN KAR                  </t>
  </si>
  <si>
    <t xml:space="preserve">SENECA HIGH END PLACEMENT CHD </t>
  </si>
  <si>
    <t xml:space="preserve">SENCA HGENDP                  </t>
  </si>
  <si>
    <t xml:space="preserve">YAN YUEN-HUEY (TRACEY) MFT    </t>
  </si>
  <si>
    <t xml:space="preserve">YAN TRACEY                    </t>
  </si>
  <si>
    <t xml:space="preserve">RUBEL MARCIE LCSW             </t>
  </si>
  <si>
    <t xml:space="preserve">RUBEL MARCIE                  </t>
  </si>
  <si>
    <t xml:space="preserve">FLINTON CHARLES A PHD         </t>
  </si>
  <si>
    <t xml:space="preserve">FLINTON CHRL                  </t>
  </si>
  <si>
    <t xml:space="preserve">JOSLYN FRANCES S PHD          </t>
  </si>
  <si>
    <t xml:space="preserve">JOSLYN FRANC                  </t>
  </si>
  <si>
    <t xml:space="preserve">E BAY COMM REC TRACT PROGRAM  </t>
  </si>
  <si>
    <t xml:space="preserve">EBCRPTRACT P                  </t>
  </si>
  <si>
    <t xml:space="preserve">SURULINATHAN SANMUKAN MD      </t>
  </si>
  <si>
    <t xml:space="preserve">SURULINATHAN                  </t>
  </si>
  <si>
    <t>THE HELP GROUP PAC RDGE MHS CH</t>
  </si>
  <si>
    <t xml:space="preserve">HELPGP PR CH                  </t>
  </si>
  <si>
    <t xml:space="preserve">VICTOR PERRIS DY INTENS FULL  </t>
  </si>
  <si>
    <t xml:space="preserve">VICTPARDYINT                  </t>
  </si>
  <si>
    <t xml:space="preserve">VICTOR PERRIS RES SUPP CHILD  </t>
  </si>
  <si>
    <t xml:space="preserve">VICPR RESSUP                  </t>
  </si>
  <si>
    <t xml:space="preserve">VICTOR PERRIS MHS CHILD       </t>
  </si>
  <si>
    <t xml:space="preserve">VIC PERR MHS                  </t>
  </si>
  <si>
    <t xml:space="preserve">SMITH SHANNON LCSW            </t>
  </si>
  <si>
    <t xml:space="preserve">SMITH SHANNO                  </t>
  </si>
  <si>
    <t xml:space="preserve">DE GENESTE LISA M LCSW        </t>
  </si>
  <si>
    <t xml:space="preserve">DE GENESTE L                  </t>
  </si>
  <si>
    <t>BONITA HOUSE CHOICES MHSA ADLT</t>
  </si>
  <si>
    <t xml:space="preserve">BONITA CHOIC                  </t>
  </si>
  <si>
    <t>E BAY COMM PREP SAN PAB MH TAY</t>
  </si>
  <si>
    <t xml:space="preserve">EBCRPPREPSP                   </t>
  </si>
  <si>
    <t xml:space="preserve">FAMILY SVC OF SF PREP MH TAY  </t>
  </si>
  <si>
    <t xml:space="preserve">FAMSVCSFPREP                  </t>
  </si>
  <si>
    <t xml:space="preserve">E BAY COMM PREP SUTRO MH TAY  </t>
  </si>
  <si>
    <t xml:space="preserve">EBCRPPREPSUT                  </t>
  </si>
  <si>
    <t xml:space="preserve">MARKLEY KEITH M MD            </t>
  </si>
  <si>
    <t xml:space="preserve">MARKLEY KEIT                  </t>
  </si>
  <si>
    <t xml:space="preserve">HALL ARTHUR L PHD             </t>
  </si>
  <si>
    <t xml:space="preserve">HALL ARTHURL                  </t>
  </si>
  <si>
    <t xml:space="preserve">KHAN AZRA P MFT               </t>
  </si>
  <si>
    <t xml:space="preserve">KHAN AZRA P                   </t>
  </si>
  <si>
    <t xml:space="preserve">STARS ARROYO HIGH SCH MHS CHD </t>
  </si>
  <si>
    <t xml:space="preserve">STARSARROYCH                  </t>
  </si>
  <si>
    <t>STARS DEL REY ELEM SCH MHS CHD</t>
  </si>
  <si>
    <t xml:space="preserve">STARSDELRYCH                  </t>
  </si>
  <si>
    <t xml:space="preserve">GIRLS INC CHILD MHS CONCORDIA </t>
  </si>
  <si>
    <t xml:space="preserve">GIRLS CH CON                  </t>
  </si>
  <si>
    <t xml:space="preserve">SENECA ARLINGTON MHS CHILD    </t>
  </si>
  <si>
    <t xml:space="preserve">SENECAARLGCD                  </t>
  </si>
  <si>
    <t xml:space="preserve">SENECA CTRVILLE JH MHS CHILD  </t>
  </si>
  <si>
    <t xml:space="preserve">SENECACTRVCH                  </t>
  </si>
  <si>
    <t xml:space="preserve">ANDERSON MELISSA C MFT        </t>
  </si>
  <si>
    <t xml:space="preserve">ANDERSON MEL                  </t>
  </si>
  <si>
    <t xml:space="preserve">HART NAIMA C MFT              </t>
  </si>
  <si>
    <t xml:space="preserve">HART NAIMA C                  </t>
  </si>
  <si>
    <t xml:space="preserve">PARRA LANGE OLIVIA MFT        </t>
  </si>
  <si>
    <t xml:space="preserve">PARRA LANGE                   </t>
  </si>
  <si>
    <t xml:space="preserve">SIWULA CLAIRE L MFT           </t>
  </si>
  <si>
    <t xml:space="preserve">SIWULA CLAIR                  </t>
  </si>
  <si>
    <t xml:space="preserve">POMPA ELLEN B MFT             </t>
  </si>
  <si>
    <t xml:space="preserve">POMPA ELLEN                   </t>
  </si>
  <si>
    <t xml:space="preserve">PALMER OLGA N MFT             </t>
  </si>
  <si>
    <t xml:space="preserve">PALMER OLGA                   </t>
  </si>
  <si>
    <t xml:space="preserve">FFYC TRANSITIONS MHS TAY      </t>
  </si>
  <si>
    <t xml:space="preserve">FFYCTRANSTAY                  </t>
  </si>
  <si>
    <t xml:space="preserve">RUBENSTEIN ESTELLE F MFT      </t>
  </si>
  <si>
    <t xml:space="preserve">RUBENSTEIN E                  </t>
  </si>
  <si>
    <t xml:space="preserve">MCCREE  SUSAN H MFT           </t>
  </si>
  <si>
    <t xml:space="preserve">MCCREE SUSAN                  </t>
  </si>
  <si>
    <t xml:space="preserve">STARS ADOL MHS TAY            </t>
  </si>
  <si>
    <t xml:space="preserve">STARSADOLTAY                  </t>
  </si>
  <si>
    <t>STARS DAYTON ELEM SCH MHS CHLD</t>
  </si>
  <si>
    <t xml:space="preserve">STARSDYTNSCH                  </t>
  </si>
  <si>
    <t xml:space="preserve">CHARIS YTH CTR RES SUPP CHILD </t>
  </si>
  <si>
    <t xml:space="preserve">CHARISRESSUP                  </t>
  </si>
  <si>
    <t xml:space="preserve">CHARIS YTH CTR SUPP SER CHILD </t>
  </si>
  <si>
    <t xml:space="preserve">CHARIS SUPSR                  </t>
  </si>
  <si>
    <t xml:space="preserve">WHITE CHRISTOPHER P LCSW      </t>
  </si>
  <si>
    <t xml:space="preserve">WHITE CHRIST                  </t>
  </si>
  <si>
    <t xml:space="preserve">HANKIN DINA C PHD             </t>
  </si>
  <si>
    <t xml:space="preserve">HANKIN DINAC                  </t>
  </si>
  <si>
    <t xml:space="preserve">MALIK NUSRAT N MD             </t>
  </si>
  <si>
    <t xml:space="preserve">MALIK NUSRAT                  </t>
  </si>
  <si>
    <t>STARS PRESCOTT ELEM SCH MHS CH</t>
  </si>
  <si>
    <t xml:space="preserve">STARSPRESCHD                  </t>
  </si>
  <si>
    <t>SRP-PLEASANT HILL BOARD &amp; CARE</t>
  </si>
  <si>
    <t xml:space="preserve">SRP PLEASANT                  </t>
  </si>
  <si>
    <t xml:space="preserve">LINCOLN SANKOFA SCH MHS CHILD </t>
  </si>
  <si>
    <t xml:space="preserve">LINCSNKFAMHS                  </t>
  </si>
  <si>
    <t xml:space="preserve">LIGHT  JOHN MFT               </t>
  </si>
  <si>
    <t xml:space="preserve">LIGHT JOHN                    </t>
  </si>
  <si>
    <t xml:space="preserve">MAA CB2 TEMPLATE              </t>
  </si>
  <si>
    <t xml:space="preserve">MAACB2                        </t>
  </si>
  <si>
    <t xml:space="preserve">SENECA CESAR CHAVEZ MHS CHILD </t>
  </si>
  <si>
    <t xml:space="preserve">SENECACCSMHS                  </t>
  </si>
  <si>
    <t xml:space="preserve">SENECA H GREEN SCH MHS CHILD  </t>
  </si>
  <si>
    <t xml:space="preserve">SENECAHVGRCH                  </t>
  </si>
  <si>
    <t xml:space="preserve">SENECA LONGWOOD SCH MHS CHILD </t>
  </si>
  <si>
    <t xml:space="preserve">SENECALGWDMH                  </t>
  </si>
  <si>
    <t xml:space="preserve">SENECA MT EDEN SCH MHS CHILD  </t>
  </si>
  <si>
    <t xml:space="preserve">SENECAMTEDMH                  </t>
  </si>
  <si>
    <t>SENECA MDLA&amp;ARCH SCH MHS CHILD</t>
  </si>
  <si>
    <t xml:space="preserve">SEN MDLA MHS                  </t>
  </si>
  <si>
    <t xml:space="preserve">CHOICES VIRTUAL MULTI-AGENCY  </t>
  </si>
  <si>
    <t xml:space="preserve">CHOICES VIRT                  </t>
  </si>
  <si>
    <t xml:space="preserve">SENECA FREMONT MHS CHILD      </t>
  </si>
  <si>
    <t xml:space="preserve">SENECAFREMHS                  </t>
  </si>
  <si>
    <t xml:space="preserve">STULTZ SANDRA L MFT           </t>
  </si>
  <si>
    <t xml:space="preserve">STULTZ SANDR                  </t>
  </si>
  <si>
    <t>RECOVERY INNOVATN CHOICES ADLT</t>
  </si>
  <si>
    <t xml:space="preserve">RICA CHOICES                  </t>
  </si>
  <si>
    <t xml:space="preserve">MEDICARE CBO TEMPLATE         </t>
  </si>
  <si>
    <t xml:space="preserve">MDCCBO TMPLT                  </t>
  </si>
  <si>
    <t xml:space="preserve">STARS ADOL TAY PROGRAM        </t>
  </si>
  <si>
    <t xml:space="preserve">STRSTAYPROGR                  </t>
  </si>
  <si>
    <t xml:space="preserve">MANOHARA SAKREPATNA MD        </t>
  </si>
  <si>
    <t xml:space="preserve">MANOHARA SAK                  </t>
  </si>
  <si>
    <t xml:space="preserve">LA CLINICA ASCEND MHS CHILD   </t>
  </si>
  <si>
    <t xml:space="preserve">LACLIN ASCND                  </t>
  </si>
  <si>
    <t xml:space="preserve">MALINI IYENGAR MD             </t>
  </si>
  <si>
    <t xml:space="preserve">MALINI IYENG                  </t>
  </si>
  <si>
    <t>AFGHAN COALITION UELP CHLD ADL</t>
  </si>
  <si>
    <t xml:space="preserve">AFGHAN UELP                   </t>
  </si>
  <si>
    <t xml:space="preserve">YOUTH UPRISING TAY PROGRAM    </t>
  </si>
  <si>
    <t xml:space="preserve">YTHUPRS PROG                  </t>
  </si>
  <si>
    <t xml:space="preserve">SHETH DHARMESH N MD           </t>
  </si>
  <si>
    <t xml:space="preserve">SHETH DHARME                  </t>
  </si>
  <si>
    <t xml:space="preserve">CRECELIUS GINA M MD           </t>
  </si>
  <si>
    <t xml:space="preserve">CRECELIUS GI                  </t>
  </si>
  <si>
    <t xml:space="preserve">SOLIMAN HANAA F MD            </t>
  </si>
  <si>
    <t xml:space="preserve">SOLIMAN HANA                  </t>
  </si>
  <si>
    <t xml:space="preserve">MEYERS CHARLES J PHD          </t>
  </si>
  <si>
    <t xml:space="preserve">MEYERS CHARL                  </t>
  </si>
  <si>
    <t xml:space="preserve">KIRKLAND JENNIFER B PHD       </t>
  </si>
  <si>
    <t xml:space="preserve">KIRKLAND JEN                  </t>
  </si>
  <si>
    <t>LA FAMILIA REDWD DY TX MHS CHD</t>
  </si>
  <si>
    <t xml:space="preserve">LAFAM REDWOD                  </t>
  </si>
  <si>
    <t>LA CLINICA UELP MHS CHILD ADLT</t>
  </si>
  <si>
    <t xml:space="preserve">LACLIN UELP                   </t>
  </si>
  <si>
    <t>PORTIA BELL UELP MHS CHLD ADLT</t>
  </si>
  <si>
    <t xml:space="preserve">PBHUME UELP                   </t>
  </si>
  <si>
    <t xml:space="preserve">LA FAMILIA REDWOOD DAY TX INT </t>
  </si>
  <si>
    <t xml:space="preserve">LAFAM DY RWD                  </t>
  </si>
  <si>
    <t xml:space="preserve">ASIAN OAKLAND HIGH MHS CHILD  </t>
  </si>
  <si>
    <t xml:space="preserve">ASIAN OAK CH                  </t>
  </si>
  <si>
    <t xml:space="preserve">PORTIA BELL MHS CHD DEL VALLE </t>
  </si>
  <si>
    <t xml:space="preserve">PBELL DLVALL                  </t>
  </si>
  <si>
    <t>PORTIA BELL MHS CHD PHOENIX HS</t>
  </si>
  <si>
    <t xml:space="preserve">PBELL PHOENX                  </t>
  </si>
  <si>
    <t>PORTIA BELL MHS CHLD VALLEY HS</t>
  </si>
  <si>
    <t xml:space="preserve">PBELL VALLEY                  </t>
  </si>
  <si>
    <t>PORTIA BELL MHS CHD VILLAGE HS</t>
  </si>
  <si>
    <t xml:space="preserve">PBELL VILLGE                  </t>
  </si>
  <si>
    <t>ANN MARTIN MADISON PK ACDMY CH</t>
  </si>
  <si>
    <t xml:space="preserve">AM MADISONPK                  </t>
  </si>
  <si>
    <t xml:space="preserve">CHAFFIN JENNIFER A MD         </t>
  </si>
  <si>
    <t xml:space="preserve">CHAFFIN JENN                  </t>
  </si>
  <si>
    <t xml:space="preserve">CLIFF JESSICA B MFT           </t>
  </si>
  <si>
    <t xml:space="preserve">CLIFF JESSIC                  </t>
  </si>
  <si>
    <t>A BETTER WAY SART 0-5 MHS CHLD</t>
  </si>
  <si>
    <t xml:space="preserve">BETTERWY 0-5                  </t>
  </si>
  <si>
    <t>STARS ROYAL SUNSET HS MHS CHLD</t>
  </si>
  <si>
    <t xml:space="preserve">STARSROYL CH                  </t>
  </si>
  <si>
    <t xml:space="preserve">LINCOLN CHD CTR MHS SCH ENGMT </t>
  </si>
  <si>
    <t xml:space="preserve">LINC SCHEGMT                  </t>
  </si>
  <si>
    <t>TELECARE SAUSAL CRK MHS CRISIS</t>
  </si>
  <si>
    <t xml:space="preserve">SAUSALCRK AD                  </t>
  </si>
  <si>
    <t xml:space="preserve">E BAY COMM REC FSP MHSA TRACT </t>
  </si>
  <si>
    <t xml:space="preserve">E BAY TRACT                   </t>
  </si>
  <si>
    <t xml:space="preserve">HARKER LEEANNE PHD            </t>
  </si>
  <si>
    <t xml:space="preserve">HARKER LEEAN                  </t>
  </si>
  <si>
    <t xml:space="preserve">FONE DONNA L MFT              </t>
  </si>
  <si>
    <t xml:space="preserve">FONE DONNA L                  </t>
  </si>
  <si>
    <t xml:space="preserve">THOMPSON LINDA M MFT          </t>
  </si>
  <si>
    <t xml:space="preserve">THOMPSON LIN                  </t>
  </si>
  <si>
    <t xml:space="preserve">SAEPHAN MEY S MFT             </t>
  </si>
  <si>
    <t xml:space="preserve">SAEPHAN MEY                   </t>
  </si>
  <si>
    <t>E BAY COMM PREP FRANKLN MH TAY</t>
  </si>
  <si>
    <t xml:space="preserve">EBCRPPREP FR                  </t>
  </si>
  <si>
    <t>FAMILY SVC OF SF PREP FRKLNTAY</t>
  </si>
  <si>
    <t xml:space="preserve">FAMSVC FRKLN                  </t>
  </si>
  <si>
    <t>BACR CRAGMONT ELEM SCH MHS CHD</t>
  </si>
  <si>
    <t xml:space="preserve">BACR CRAGMNT                  </t>
  </si>
  <si>
    <t>BACR OXFORD ELEM SCH MHS CHILD</t>
  </si>
  <si>
    <t xml:space="preserve">BACR OXFORD                   </t>
  </si>
  <si>
    <t xml:space="preserve">SINGHAL SONIA MFT             </t>
  </si>
  <si>
    <t xml:space="preserve">SINGHAL SONI                  </t>
  </si>
  <si>
    <t xml:space="preserve">CITY OF BERK FSP TAY          </t>
  </si>
  <si>
    <t xml:space="preserve">BE FSP TAY                    </t>
  </si>
  <si>
    <t xml:space="preserve">CITY OF BERKELEY ADULT FSP    </t>
  </si>
  <si>
    <t xml:space="preserve">BE ADULT FSP                  </t>
  </si>
  <si>
    <t xml:space="preserve">GASSNER VERA MFT              </t>
  </si>
  <si>
    <t xml:space="preserve">GASSNER VERA                  </t>
  </si>
  <si>
    <t>NATIVE AMERICAN UELP CHLD ADLT</t>
  </si>
  <si>
    <t xml:space="preserve">NAT AM UELP                   </t>
  </si>
  <si>
    <t>BACR MALCOLM X ELEM SCH MHS CH</t>
  </si>
  <si>
    <t xml:space="preserve">BACR MALCLMX                  </t>
  </si>
  <si>
    <t>E BAY COMM REC FSP TRACT PROGR</t>
  </si>
  <si>
    <t xml:space="preserve">EBCRPTRCT PR                  </t>
  </si>
  <si>
    <t>SENECA BUILDING BLKS MHS CHILD</t>
  </si>
  <si>
    <t xml:space="preserve">SNECA BB MHS                  </t>
  </si>
  <si>
    <t xml:space="preserve">LA CLINICA CASA III MHS CHILD </t>
  </si>
  <si>
    <t xml:space="preserve">LACLIN CASA                   </t>
  </si>
  <si>
    <t>THUNDER ROAD DY INTENS FULL CH</t>
  </si>
  <si>
    <t xml:space="preserve">THUNDERDYINT                  </t>
  </si>
  <si>
    <t xml:space="preserve">MIRKOVICH JOSEPH JR N MD      </t>
  </si>
  <si>
    <t xml:space="preserve">MIRKOVICH JO                  </t>
  </si>
  <si>
    <t xml:space="preserve">BOSS CASA MARIA MHS ADULT     </t>
  </si>
  <si>
    <t xml:space="preserve">BOSS MHSADLT                  </t>
  </si>
  <si>
    <t xml:space="preserve">EBAC REACH ACADEMY MHS CHILD  </t>
  </si>
  <si>
    <t xml:space="preserve">EBACREACH CH                  </t>
  </si>
  <si>
    <t xml:space="preserve">WADE HELOISA S MFT            </t>
  </si>
  <si>
    <t xml:space="preserve">WADE HELOISA                  </t>
  </si>
  <si>
    <t xml:space="preserve">KEOUGH KENNETH R MFT          </t>
  </si>
  <si>
    <t xml:space="preserve">KEOUGH KENNE                  </t>
  </si>
  <si>
    <t xml:space="preserve">LIN MAUREEN MOH YUH MFT       </t>
  </si>
  <si>
    <t xml:space="preserve">LIN MAUREEN                   </t>
  </si>
  <si>
    <t xml:space="preserve">BRATKO MARIA P MFT            </t>
  </si>
  <si>
    <t xml:space="preserve">BRATKO MARIA                  </t>
  </si>
  <si>
    <t xml:space="preserve">HARTMAN JAMES K MD            </t>
  </si>
  <si>
    <t xml:space="preserve">HARTMAN JAME                  </t>
  </si>
  <si>
    <t xml:space="preserve">WILLIAMS LANA P MD            </t>
  </si>
  <si>
    <t xml:space="preserve">WILLIAMS LAN                  </t>
  </si>
  <si>
    <t xml:space="preserve">BACS EVRI WCTR HEDCO MHS ADLT </t>
  </si>
  <si>
    <t xml:space="preserve">BACS HEDCO                    </t>
  </si>
  <si>
    <t>BACS EVRI WCTR VALLEY MHS ADLT</t>
  </si>
  <si>
    <t xml:space="preserve">BACS VALLEY                   </t>
  </si>
  <si>
    <t>BACS EVRI WCTR TOWNEHSE MHS AD</t>
  </si>
  <si>
    <t xml:space="preserve">BACS TOWNHSE                  </t>
  </si>
  <si>
    <t>BACS EVRI WCTR IRVINGTN MHS AD</t>
  </si>
  <si>
    <t xml:space="preserve">BACS IRVGTON                  </t>
  </si>
  <si>
    <t xml:space="preserve">JONES MARGARET PHD            </t>
  </si>
  <si>
    <t xml:space="preserve">JONES MARGAR                  </t>
  </si>
  <si>
    <t xml:space="preserve">KALEKA VIRENDER S MD          </t>
  </si>
  <si>
    <t xml:space="preserve">KALEKA VIREN                  </t>
  </si>
  <si>
    <t xml:space="preserve">SENF MARILYN L PHD            </t>
  </si>
  <si>
    <t xml:space="preserve">SENF MARILYN                  </t>
  </si>
  <si>
    <t>OPTIONS RECOVERY MHS ADLT PROG</t>
  </si>
  <si>
    <t xml:space="preserve">OPTIONS PROG                  </t>
  </si>
  <si>
    <t>OPTIONS RECOVERY ADLT SVC TEAM</t>
  </si>
  <si>
    <t xml:space="preserve">OPTIONS TEAM                  </t>
  </si>
  <si>
    <t xml:space="preserve">ALT FAM SRV GTHRNG PL MHS CHD </t>
  </si>
  <si>
    <t xml:space="preserve">AFS GTHRNGPL                  </t>
  </si>
  <si>
    <t xml:space="preserve">SENECA WINTON FLDAY REHAB TAY </t>
  </si>
  <si>
    <t xml:space="preserve">SENECA WNTON                  </t>
  </si>
  <si>
    <t xml:space="preserve">SENECA WINTON SCH MHS TAY     </t>
  </si>
  <si>
    <t xml:space="preserve">SEN WNTN TAY                  </t>
  </si>
  <si>
    <t>CERI UELP MHS ROYA CHILD ADULT</t>
  </si>
  <si>
    <t xml:space="preserve">CERI UELP                     </t>
  </si>
  <si>
    <t xml:space="preserve">SIU KIRI ANN H MFT            </t>
  </si>
  <si>
    <t xml:space="preserve">SIU KIRI ANN                  </t>
  </si>
  <si>
    <t>ABODE SERVICES OPRI SUPPSVC AD</t>
  </si>
  <si>
    <t xml:space="preserve">ABODE SUPSVC                  </t>
  </si>
  <si>
    <t xml:space="preserve">MONSON JANINE D LCSW          </t>
  </si>
  <si>
    <t xml:space="preserve">MONSON JANIN                  </t>
  </si>
  <si>
    <t xml:space="preserve">FIDEL MANOLITO B MD           </t>
  </si>
  <si>
    <t xml:space="preserve">FIDEL MANOLI                  </t>
  </si>
  <si>
    <t xml:space="preserve">WONG LOSA PHD                 </t>
  </si>
  <si>
    <t xml:space="preserve">WONG LOSA                     </t>
  </si>
  <si>
    <t xml:space="preserve">MANJUNATH SUDHA MD            </t>
  </si>
  <si>
    <t xml:space="preserve">MANJUNATH SU                  </t>
  </si>
  <si>
    <t xml:space="preserve">NAYAK BANNANJE S MD           </t>
  </si>
  <si>
    <t xml:space="preserve">NAYAK BANNAN                  </t>
  </si>
  <si>
    <t>HORIZON CRONIN ADULT RESIDENTL</t>
  </si>
  <si>
    <t xml:space="preserve">HORZNCRN RES                  </t>
  </si>
  <si>
    <t>HORIZON CRONIN HALFDY REHAB AD</t>
  </si>
  <si>
    <t xml:space="preserve">HORZCRNDYREH                  </t>
  </si>
  <si>
    <t>HORIZON CHRYSALIS ADULT RESDTL</t>
  </si>
  <si>
    <t xml:space="preserve">HORZNCHRYSRE                  </t>
  </si>
  <si>
    <t>HORIZON CHRYSALIS HFDY REH ADL</t>
  </si>
  <si>
    <t xml:space="preserve">HORZNCHRHFDY                  </t>
  </si>
  <si>
    <t>SENECA SHORELINE FLDY REHAB CH</t>
  </si>
  <si>
    <t xml:space="preserve">SENSHRLN REH                  </t>
  </si>
  <si>
    <t>SENECA SHORELINE FLDY MHS CHLD</t>
  </si>
  <si>
    <t xml:space="preserve">SENSHRLN MHS                  </t>
  </si>
  <si>
    <t>BACS OAKLAND PROJ CONNECT ADLT</t>
  </si>
  <si>
    <t xml:space="preserve">BACS OAKPROJ                  </t>
  </si>
  <si>
    <t>BACR JEFFERSON ELEM SCH MHS CH</t>
  </si>
  <si>
    <t xml:space="preserve">BACR JEFFRSN                  </t>
  </si>
  <si>
    <t xml:space="preserve">TAKLA LA TANYA A MFT          </t>
  </si>
  <si>
    <t xml:space="preserve">TAKLA LA TAN                  </t>
  </si>
  <si>
    <t xml:space="preserve">LIU SASHA L MFT               </t>
  </si>
  <si>
    <t xml:space="preserve">LIU SASHA L                   </t>
  </si>
  <si>
    <t>CRISIS RESPONSE LIVERMORE ADLT</t>
  </si>
  <si>
    <t xml:space="preserve">CRISRESP LIV                  </t>
  </si>
  <si>
    <t>BACS OAKLAND PROJ CONNECT PROG</t>
  </si>
  <si>
    <t xml:space="preserve">BACSCONNECTP                  </t>
  </si>
  <si>
    <t xml:space="preserve">FFYC OAKTECH ESY R FLDY CHILD </t>
  </si>
  <si>
    <t xml:space="preserve">FFYCOAK FLDY                  </t>
  </si>
  <si>
    <t xml:space="preserve">FFYC OAKTECH ESY MHS CHILD    </t>
  </si>
  <si>
    <t xml:space="preserve">FFYCOAKESYMH                  </t>
  </si>
  <si>
    <t xml:space="preserve">FFYC SKYLINE ESY R FLDY CHILD </t>
  </si>
  <si>
    <t xml:space="preserve">FFYC SKLNRFD                  </t>
  </si>
  <si>
    <t xml:space="preserve">FFYC SKYLINE ESY MHS CHILD    </t>
  </si>
  <si>
    <t xml:space="preserve">FFYC SKYLNMH                  </t>
  </si>
  <si>
    <t xml:space="preserve">CHARIS YTH CTR TBS MHS CHILD  </t>
  </si>
  <si>
    <t xml:space="preserve">CHARIS TBS                    </t>
  </si>
  <si>
    <t xml:space="preserve">FRANKLIN LESLEIGH H PH D      </t>
  </si>
  <si>
    <t xml:space="preserve">FRANKLIN LES                  </t>
  </si>
  <si>
    <t xml:space="preserve">WHITE-SOSO FREDERICKA L LCSW  </t>
  </si>
  <si>
    <t xml:space="preserve">WHITE-SOSO F                  </t>
  </si>
  <si>
    <t>PORTIA BELL HUME LEV 2 ADLT PG</t>
  </si>
  <si>
    <t xml:space="preserve">PORBEL L2PRG                  </t>
  </si>
  <si>
    <t>PATHWAYS TO WELL LEV 2 OAK PRG</t>
  </si>
  <si>
    <t xml:space="preserve">PW L2P OAKAD                  </t>
  </si>
  <si>
    <t>TIBURCIO SBSL CONLEY MHS CHILD</t>
  </si>
  <si>
    <t xml:space="preserve">TVHCSBSL CHD                  </t>
  </si>
  <si>
    <t xml:space="preserve">CAPE INC 0-6 MHS CHILD        </t>
  </si>
  <si>
    <t xml:space="preserve">CAPE MHS CHD                  </t>
  </si>
  <si>
    <t xml:space="preserve">BOSS ROSA PARKS MHS ADULT     </t>
  </si>
  <si>
    <t xml:space="preserve">BOSSRPKS ADL                  </t>
  </si>
  <si>
    <t>PATHWAYS TO WELL OAK LEV 2 ADL</t>
  </si>
  <si>
    <t xml:space="preserve">PW LEV 2 ADL                  </t>
  </si>
  <si>
    <t>SENECA CHERRYLAND REH FLDY CHD</t>
  </si>
  <si>
    <t xml:space="preserve">SENCLND RFDY                  </t>
  </si>
  <si>
    <t xml:space="preserve">SENECA CHERRYLAND MHS CHILD   </t>
  </si>
  <si>
    <t xml:space="preserve">SENCLND MHS                   </t>
  </si>
  <si>
    <t>SENECA BERKLEY AD SCH MHS CHLD</t>
  </si>
  <si>
    <t xml:space="preserve">SENBRKLY CHD                  </t>
  </si>
  <si>
    <t>SENECA OAKTECH REH FLDY MHS CH</t>
  </si>
  <si>
    <t xml:space="preserve">SENOTECH RFD                  </t>
  </si>
  <si>
    <t xml:space="preserve">SENECA OAKTECH MHS CHILD      </t>
  </si>
  <si>
    <t xml:space="preserve">SENOTECH MHS                  </t>
  </si>
  <si>
    <t xml:space="preserve">CHAA UELP MHS CHILD ADULT     </t>
  </si>
  <si>
    <t xml:space="preserve">CHAA UELP                     </t>
  </si>
  <si>
    <t xml:space="preserve">THYGESON CINDY Y MD           </t>
  </si>
  <si>
    <t xml:space="preserve">THYGESON CIN                  </t>
  </si>
  <si>
    <t xml:space="preserve">KERSEY NANCY MFT              </t>
  </si>
  <si>
    <t xml:space="preserve">KERSEY NANCY                  </t>
  </si>
  <si>
    <t>EBAC LOGAN HIGH REH FL DY CHLD</t>
  </si>
  <si>
    <t xml:space="preserve">EBAC LOGAN                    </t>
  </si>
  <si>
    <t>PORTIA BELL HUME LEVEL 2 ADULT</t>
  </si>
  <si>
    <t xml:space="preserve">PORBELL LEV2                  </t>
  </si>
  <si>
    <t xml:space="preserve">TUCKER BRYAN E MFT            </t>
  </si>
  <si>
    <t xml:space="preserve">TUCKER BRYAN                  </t>
  </si>
  <si>
    <t xml:space="preserve">SANDLER JANINE D LCSW         </t>
  </si>
  <si>
    <t xml:space="preserve">SANDLER JANI                  </t>
  </si>
  <si>
    <t xml:space="preserve">MAYFIELD SHIRLEY A PH D       </t>
  </si>
  <si>
    <t xml:space="preserve">MAYFIELD SHI                  </t>
  </si>
  <si>
    <t>SENECA REDWOOD HS FL DY REH CH</t>
  </si>
  <si>
    <t xml:space="preserve">SENREDWD FDY                  </t>
  </si>
  <si>
    <t xml:space="preserve">SENECA REDWOOD HS MHS CHILD   </t>
  </si>
  <si>
    <t xml:space="preserve">SEN RDWD MHS                  </t>
  </si>
  <si>
    <t>SENECA LORIN EDEN FL DY REH CH</t>
  </si>
  <si>
    <t xml:space="preserve">SENLEDEN FDY                  </t>
  </si>
  <si>
    <t xml:space="preserve">SENECA LORIN EDEN MHS CHILD   </t>
  </si>
  <si>
    <t xml:space="preserve">SEN LEDEN MH                  </t>
  </si>
  <si>
    <t>SENECA BRENKWITZ FL DY REH CHD</t>
  </si>
  <si>
    <t xml:space="preserve">SENBWITZ FDY                  </t>
  </si>
  <si>
    <t xml:space="preserve">SENECA BRENKWITZ HS MHS CHILD </t>
  </si>
  <si>
    <t xml:space="preserve">SEN BWITZ MH                  </t>
  </si>
  <si>
    <t>SENECA TENNYSON HS FLDY REH CH</t>
  </si>
  <si>
    <t xml:space="preserve">SENTENSN FDY                  </t>
  </si>
  <si>
    <t xml:space="preserve">SENECA TENNYSON HS MHS CHILD  </t>
  </si>
  <si>
    <t xml:space="preserve">SENTENSN MHS                  </t>
  </si>
  <si>
    <t xml:space="preserve">BOSS PACHECO COURTS MHS ADULT </t>
  </si>
  <si>
    <t xml:space="preserve">BOSS PACHECO                  </t>
  </si>
  <si>
    <t>BOSS SO CNTY SOBER HSNG MH ADL</t>
  </si>
  <si>
    <t xml:space="preserve">BOSS SOBHSNG                  </t>
  </si>
  <si>
    <t xml:space="preserve">DJAVAHERIAN MINOU MFT         </t>
  </si>
  <si>
    <t xml:space="preserve">DJAVAHERIAN                   </t>
  </si>
  <si>
    <t xml:space="preserve">EBAC ROOSEVELT ELEM MHS CHILD </t>
  </si>
  <si>
    <t xml:space="preserve">EBAC ROSVELT                  </t>
  </si>
  <si>
    <t>EBAC JOHN MUIR MID SCH MHS CHD</t>
  </si>
  <si>
    <t xml:space="preserve">EBAC JONMUIR                  </t>
  </si>
  <si>
    <t>EBAC MLK JR MIDDLE SCH MHS CHD</t>
  </si>
  <si>
    <t xml:space="preserve">EBAC MLKJRMS                  </t>
  </si>
  <si>
    <t>LINCOLN CHILD FWEST HS MHS CHD</t>
  </si>
  <si>
    <t xml:space="preserve">LINC FARWEST                  </t>
  </si>
  <si>
    <t xml:space="preserve">SENECA BARACK OBAMA MHS CHILD </t>
  </si>
  <si>
    <t xml:space="preserve">SENOBAMA CHD                  </t>
  </si>
  <si>
    <t xml:space="preserve">SENECA COX ACADEMY MHS CHILD  </t>
  </si>
  <si>
    <t xml:space="preserve">SEN COXACDMY                  </t>
  </si>
  <si>
    <t>SENECA LONGFELLOW MS MHS CHILD</t>
  </si>
  <si>
    <t xml:space="preserve">SEN LNGFELOW                  </t>
  </si>
  <si>
    <t xml:space="preserve">BACR THOUSAND OAKS MHS CHILD  </t>
  </si>
  <si>
    <t xml:space="preserve">BACR TSNDOAK                  </t>
  </si>
  <si>
    <t xml:space="preserve">MONTGOMERY ALICIA B LCSW      </t>
  </si>
  <si>
    <t xml:space="preserve">MONTGOMERY A                  </t>
  </si>
  <si>
    <t xml:space="preserve">STARS COMM SVCS LEV 2 MHS TAY </t>
  </si>
  <si>
    <t xml:space="preserve">STARS LEV 2                   </t>
  </si>
  <si>
    <t xml:space="preserve">MAA DECISION SUPPORT          </t>
  </si>
  <si>
    <t xml:space="preserve">MAA DEC SPT                   </t>
  </si>
  <si>
    <t xml:space="preserve">MAA NETWORK OFFICE            </t>
  </si>
  <si>
    <t xml:space="preserve">MAA NET OFF                   </t>
  </si>
  <si>
    <t xml:space="preserve">MAHABIR SATWINDER K MFT       </t>
  </si>
  <si>
    <t xml:space="preserve">MAHABIR SATW                  </t>
  </si>
  <si>
    <t xml:space="preserve">MILHEM LUTFIA PHD             </t>
  </si>
  <si>
    <t xml:space="preserve">MILHEM LUTFI                  </t>
  </si>
  <si>
    <t>OAKLAND SCHOOLS ROOTS MHS CHLD</t>
  </si>
  <si>
    <t xml:space="preserve">OAK ROOTS                     </t>
  </si>
  <si>
    <t xml:space="preserve">STARS SAN LORENZO OPT CLINIC  </t>
  </si>
  <si>
    <t xml:space="preserve">STARS SLZOPT                  </t>
  </si>
  <si>
    <t xml:space="preserve">ROSS DIANE C MFT              </t>
  </si>
  <si>
    <t xml:space="preserve">ROSS DIANE C                  </t>
  </si>
  <si>
    <t xml:space="preserve">MANGAN SANDRA L MFT           </t>
  </si>
  <si>
    <t xml:space="preserve">MANGAN SANDR                  </t>
  </si>
  <si>
    <t xml:space="preserve">MAROUFI HENGAMEH PH D         </t>
  </si>
  <si>
    <t xml:space="preserve">MAROUFI HENG                  </t>
  </si>
  <si>
    <t xml:space="preserve">SHIELDS JOHN M PHD            </t>
  </si>
  <si>
    <t xml:space="preserve">SHIELDS JOHN                  </t>
  </si>
  <si>
    <t xml:space="preserve">GART MHS OLDER ADULT          </t>
  </si>
  <si>
    <t xml:space="preserve">GART MHS ADL                  </t>
  </si>
  <si>
    <t>ABODE SVCS WELLNESS CONNECT AD</t>
  </si>
  <si>
    <t xml:space="preserve">ABODE WCONCT                  </t>
  </si>
  <si>
    <t xml:space="preserve">EVANS BONNIE L MFT            </t>
  </si>
  <si>
    <t xml:space="preserve">EVANS BONNIE                  </t>
  </si>
  <si>
    <t>SRP-GREAT EXPECTATION CARE HME</t>
  </si>
  <si>
    <t xml:space="preserve">SRP GRTEXPEC                  </t>
  </si>
  <si>
    <t>CENTER FOR INDEP LVG MHS ADULT</t>
  </si>
  <si>
    <t xml:space="preserve">CFIL MHS ADL                  </t>
  </si>
  <si>
    <t>CENTER FOR INDEP LVNG MHS CHLD</t>
  </si>
  <si>
    <t xml:space="preserve">CFIL MHS CHD                  </t>
  </si>
  <si>
    <t xml:space="preserve">CASTILLO CAROLINA A MFT       </t>
  </si>
  <si>
    <t xml:space="preserve">CASTILLO CAR                  </t>
  </si>
  <si>
    <t xml:space="preserve">GREEN MICHAEL MFT             </t>
  </si>
  <si>
    <t xml:space="preserve">GREEN MICHAE                  </t>
  </si>
  <si>
    <t xml:space="preserve">NAOI TOMOE S PHD              </t>
  </si>
  <si>
    <t xml:space="preserve">NAOI TOMOE                    </t>
  </si>
  <si>
    <t>SENECA BERK ESY CRGMNT MHS CHD</t>
  </si>
  <si>
    <t xml:space="preserve">SEN CRGMNTCH                  </t>
  </si>
  <si>
    <t>SENECA BERK ESY MLKJR MHS CHLD</t>
  </si>
  <si>
    <t xml:space="preserve">SEN MLKJR CH                  </t>
  </si>
  <si>
    <t>SENECA BERK ESY LONGFLW MHS CH</t>
  </si>
  <si>
    <t xml:space="preserve">SEN LONGFLW                   </t>
  </si>
  <si>
    <t>ANN MARTIN MARKHAM ELEM MHS CH</t>
  </si>
  <si>
    <t xml:space="preserve">AMART MRKHAM                  </t>
  </si>
  <si>
    <t>ANN MARTIN BURCKHALTER MHS CHD</t>
  </si>
  <si>
    <t xml:space="preserve">AMART BKHLTR                  </t>
  </si>
  <si>
    <t>SENECA MTEDEN ESY TNSN FDY REH</t>
  </si>
  <si>
    <t xml:space="preserve">SENTNSN FDRE                  </t>
  </si>
  <si>
    <t>SENECA MTEDEN ESY TNSN MHS CHD</t>
  </si>
  <si>
    <t xml:space="preserve">SENTNSN MHS                   </t>
  </si>
  <si>
    <t>SENECA BRKWITZ ESY WNTN FDY RE</t>
  </si>
  <si>
    <t xml:space="preserve">SEN WNTN FDY                  </t>
  </si>
  <si>
    <t>SENECA BRKWITZ ESY WNTN MHS CH</t>
  </si>
  <si>
    <t xml:space="preserve">SEN WNTN MHS                  </t>
  </si>
  <si>
    <t>SENECA LONGWD ESY LEDEN FDY RE</t>
  </si>
  <si>
    <t>SENECA LONGWD ESY LEDEN MHS CH</t>
  </si>
  <si>
    <t xml:space="preserve">SENLEDEN MHS                  </t>
  </si>
  <si>
    <t xml:space="preserve">STARS COMM SVCS LEV2 PROGRAM  </t>
  </si>
  <si>
    <t xml:space="preserve">STARSLEV2PRG                  </t>
  </si>
  <si>
    <t xml:space="preserve">CSS WOOD MIDDLE SCH MHS CHILD </t>
  </si>
  <si>
    <t xml:space="preserve">CSS WOOD SCH                  </t>
  </si>
  <si>
    <t xml:space="preserve">WILLIAMS VALERIE A LCSW       </t>
  </si>
  <si>
    <t xml:space="preserve">WILLIAMS VAL                  </t>
  </si>
  <si>
    <t xml:space="preserve">SHARMA ANIL MD                </t>
  </si>
  <si>
    <t xml:space="preserve">SHARMA ANIL                   </t>
  </si>
  <si>
    <t xml:space="preserve">BROWN ADDIE L MFT             </t>
  </si>
  <si>
    <t xml:space="preserve">BROWN ADDIE                   </t>
  </si>
  <si>
    <t>CSS BRENKWITZ HIGH SCH MHS CHD</t>
  </si>
  <si>
    <t xml:space="preserve">CSS BRNKWITZ                  </t>
  </si>
  <si>
    <t>CSS ENCINAL HIGH SCH MHS CHILD</t>
  </si>
  <si>
    <t xml:space="preserve">CSS ENCINAL                   </t>
  </si>
  <si>
    <t xml:space="preserve">HOUSE MATTHEW MD              </t>
  </si>
  <si>
    <t xml:space="preserve">HOUSE MATTHE                  </t>
  </si>
  <si>
    <t xml:space="preserve">STILLS NADIRAH S MFT          </t>
  </si>
  <si>
    <t xml:space="preserve">STILLS NADIR                  </t>
  </si>
  <si>
    <t xml:space="preserve">ROMERO IRMA Y LCSW            </t>
  </si>
  <si>
    <t xml:space="preserve">ROMERO IRMA                   </t>
  </si>
  <si>
    <t>CSS JOHN MUIR MID SCH MHS CHLD</t>
  </si>
  <si>
    <t xml:space="preserve">CSS JMUIR CH                  </t>
  </si>
  <si>
    <t>CSS ALAMEDA HIGH SCH MHS CHILD</t>
  </si>
  <si>
    <t xml:space="preserve">CSS ALHS CHD                  </t>
  </si>
  <si>
    <t xml:space="preserve">DANIELYAN ARMAN MD            </t>
  </si>
  <si>
    <t xml:space="preserve">DANIELYAN AR                  </t>
  </si>
  <si>
    <t xml:space="preserve">BERHANU MARTHA LCSW           </t>
  </si>
  <si>
    <t xml:space="preserve">BERHANU MART                  </t>
  </si>
  <si>
    <t xml:space="preserve">MARTIN SUSAN C MFT            </t>
  </si>
  <si>
    <t xml:space="preserve">MARTIN SUSAN                  </t>
  </si>
  <si>
    <t xml:space="preserve">GOAD WINIFRED CLAYTON MFT     </t>
  </si>
  <si>
    <t xml:space="preserve">GOAD WINIFRE                  </t>
  </si>
  <si>
    <t xml:space="preserve">GOLDMAN LORI B MFT            </t>
  </si>
  <si>
    <t xml:space="preserve">GOLDMAN LORI                  </t>
  </si>
  <si>
    <t xml:space="preserve">AIU WOOD MIDDLE SCH MHS CHILD </t>
  </si>
  <si>
    <t xml:space="preserve">AIU WOOD CHD                  </t>
  </si>
  <si>
    <t>AIU ROOTS INTL ACADEMY MHS CHD</t>
  </si>
  <si>
    <t xml:space="preserve">AIU ROOTS CH                  </t>
  </si>
  <si>
    <t>AIU ALAMEDA HIGH SCH MHS CHILD</t>
  </si>
  <si>
    <t xml:space="preserve">AIU ALHS CHD                  </t>
  </si>
  <si>
    <t xml:space="preserve">AIU HOWARD ELEM SCH MHS CHILD </t>
  </si>
  <si>
    <t xml:space="preserve">AIU HOWARD                    </t>
  </si>
  <si>
    <t xml:space="preserve">WEST OAKLAND MLK JR MHS CHILD </t>
  </si>
  <si>
    <t xml:space="preserve">W OAK MLK CH                  </t>
  </si>
  <si>
    <t xml:space="preserve">ELIEFF TANGIA V LCSW          </t>
  </si>
  <si>
    <t xml:space="preserve">ELIEFF TANGI                  </t>
  </si>
  <si>
    <t xml:space="preserve">MAUNG SU SU MFT               </t>
  </si>
  <si>
    <t xml:space="preserve">MAUNG SU SU                   </t>
  </si>
  <si>
    <t xml:space="preserve">SKERBEC LINDA L MFT           </t>
  </si>
  <si>
    <t xml:space="preserve">SKERBEC LIND                  </t>
  </si>
  <si>
    <t xml:space="preserve">MODEL TEMP FOR CPT CHG 2013   </t>
  </si>
  <si>
    <t xml:space="preserve">MCPT 2013                     </t>
  </si>
  <si>
    <t xml:space="preserve">MODEL TEMP CBO CPT 2013 CHG   </t>
  </si>
  <si>
    <t xml:space="preserve">MCBOCPT2013                   </t>
  </si>
  <si>
    <t>CSS CASTRO VALLEY USD MHS CHLD</t>
  </si>
  <si>
    <t xml:space="preserve">CSS CVUSD CH                  </t>
  </si>
  <si>
    <t>CSS ITS COMM UNITED SCH MHS CH</t>
  </si>
  <si>
    <t xml:space="preserve">CSS ITS CUES                  </t>
  </si>
  <si>
    <t>FFYC MELROSE LEADERSHIP MHS CH</t>
  </si>
  <si>
    <t xml:space="preserve">FFYC MEL LDR                  </t>
  </si>
  <si>
    <t>ALAMEDA FAM ISLAND HIGH MHS CH</t>
  </si>
  <si>
    <t xml:space="preserve">ALAFAM IHIGH                  </t>
  </si>
  <si>
    <t>AIU ENCINAL HIGH SCH MHS CHILD</t>
  </si>
  <si>
    <t xml:space="preserve">AIU ENCNL HS                  </t>
  </si>
  <si>
    <t>AIU FREMONT HIGH SCH MHS CHILD</t>
  </si>
  <si>
    <t xml:space="preserve">AIU FRMNT HS                  </t>
  </si>
  <si>
    <t>AIU HILLSIDE ACADEMY MHS CHILD</t>
  </si>
  <si>
    <t xml:space="preserve">AIU HLSDE AC                  </t>
  </si>
  <si>
    <t xml:space="preserve">AIU MLK JR ELEM SCH MHS CHILD </t>
  </si>
  <si>
    <t xml:space="preserve">AIU MLKJR CH                  </t>
  </si>
  <si>
    <t>AIU FRICK MIDDLE SCH MHS CHILD</t>
  </si>
  <si>
    <t xml:space="preserve">AIU FRICKMS                   </t>
  </si>
  <si>
    <t xml:space="preserve">YOUNGS CLARENCE MFT           </t>
  </si>
  <si>
    <t xml:space="preserve">YOUNGS CLARE                  </t>
  </si>
  <si>
    <t xml:space="preserve">GESSESSE HIRUY H MD           </t>
  </si>
  <si>
    <t xml:space="preserve">GESSESSE HIR                  </t>
  </si>
  <si>
    <t xml:space="preserve">MODEL COUNTY MODE 15 TEMPLATE </t>
  </si>
  <si>
    <t xml:space="preserve">MCTY15                        </t>
  </si>
  <si>
    <t>OAKLAND SCHOOLS URBAN PROM CHD</t>
  </si>
  <si>
    <t xml:space="preserve">OAK URBAN CH                  </t>
  </si>
  <si>
    <t xml:space="preserve">MODEL CB0 MODE 15 TEMPLATE    </t>
  </si>
  <si>
    <t xml:space="preserve">MCBO15                        </t>
  </si>
  <si>
    <t xml:space="preserve">CSS NON-ERMHS SERVICES MHS    </t>
  </si>
  <si>
    <t xml:space="preserve">CSS NON-ERMH                  </t>
  </si>
  <si>
    <t>SENECA BLDG BLKS DAYINT FL K-1</t>
  </si>
  <si>
    <t xml:space="preserve">SEN BBDTI K1                  </t>
  </si>
  <si>
    <t>SENECA BLDG BLKS MHS CHILD K-1</t>
  </si>
  <si>
    <t xml:space="preserve">SEN BB MHSK1                  </t>
  </si>
  <si>
    <t>OAKLAND SCHOOLS HILLSIDE MH CH</t>
  </si>
  <si>
    <t xml:space="preserve">OAK HILLSIDE                  </t>
  </si>
  <si>
    <t xml:space="preserve">METOYER JOY E LCSW            </t>
  </si>
  <si>
    <t xml:space="preserve">METOYER JOY                   </t>
  </si>
  <si>
    <t xml:space="preserve">DAVIS LLOYD E LCSW            </t>
  </si>
  <si>
    <t xml:space="preserve">DAVIS LLOYD                   </t>
  </si>
  <si>
    <t xml:space="preserve">GREYDEN THOMAS J MD           </t>
  </si>
  <si>
    <t xml:space="preserve">GREYDEN THOM                  </t>
  </si>
  <si>
    <t xml:space="preserve">MELDEN MARK MD                </t>
  </si>
  <si>
    <t xml:space="preserve">MELDEN MARK                   </t>
  </si>
  <si>
    <t xml:space="preserve">CSS ARROYO HIGH SCH MHS CHILD </t>
  </si>
  <si>
    <t xml:space="preserve">CSS ARROYOHS                  </t>
  </si>
  <si>
    <t>ALT FAM SRV PLEASANTON MHS CHD</t>
  </si>
  <si>
    <t xml:space="preserve">ALTFAM MH CH                  </t>
  </si>
  <si>
    <t>SENECA MANDELA &amp; ARCH MHS CHLD</t>
  </si>
  <si>
    <t xml:space="preserve">SEN MANDELA                   </t>
  </si>
  <si>
    <t>SENECA ELMHURST MID SCH MHS CH</t>
  </si>
  <si>
    <t xml:space="preserve">SEN ELMHURST                  </t>
  </si>
  <si>
    <t>SENECA ST ACADEMY SCH MHS CHLD</t>
  </si>
  <si>
    <t xml:space="preserve">SEN STACADMY                  </t>
  </si>
  <si>
    <t>SENECA COMMUNITY DAY SCH MH CH</t>
  </si>
  <si>
    <t xml:space="preserve">SEN COMM DAY                  </t>
  </si>
  <si>
    <t>ANN MARTIN ALLENDALE MHS CHILD</t>
  </si>
  <si>
    <t xml:space="preserve">AM ALLENDALE                  </t>
  </si>
  <si>
    <t>SENECA UNITED 4 SUCCESS MH CHD</t>
  </si>
  <si>
    <t xml:space="preserve">SENUNITED CH                  </t>
  </si>
  <si>
    <t xml:space="preserve">LINCOLN CHILD 14TH ST MHS TBS </t>
  </si>
  <si>
    <t xml:space="preserve">LINCOLN TBS                   </t>
  </si>
  <si>
    <t xml:space="preserve">RUNNELS BETTY MFT             </t>
  </si>
  <si>
    <t xml:space="preserve">RUNNELS BETT                  </t>
  </si>
  <si>
    <t>CHAA ASIAN YOUTH ACCESS MHS CH</t>
  </si>
  <si>
    <t xml:space="preserve">CHAA ASN MHS                  </t>
  </si>
  <si>
    <t>LIFELONG MED CARE OAKLND MH AD</t>
  </si>
  <si>
    <t xml:space="preserve">LIFELONG OAK                  </t>
  </si>
  <si>
    <t xml:space="preserve">AIU BREWER SCH MHS CHILD      </t>
  </si>
  <si>
    <t xml:space="preserve">AIU BRWER CH                  </t>
  </si>
  <si>
    <t>AIU OAKLND TECH HIGH MHS CHILD</t>
  </si>
  <si>
    <t xml:space="preserve">AIU OAKHS CH                  </t>
  </si>
  <si>
    <t xml:space="preserve">CHAA GARFIELD MHS CHILD       </t>
  </si>
  <si>
    <t xml:space="preserve">CHAA GARF CH                  </t>
  </si>
  <si>
    <t xml:space="preserve">CHAA EDNA BREWER MHS CHILD    </t>
  </si>
  <si>
    <t xml:space="preserve">CHAA EBRWRCH                  </t>
  </si>
  <si>
    <t xml:space="preserve">CHAA BELLA VISTA MHS CHILD    </t>
  </si>
  <si>
    <t xml:space="preserve">CHAA BVISTA                   </t>
  </si>
  <si>
    <t>ALAMEDA FAM SRV ENCINAL MHS CH</t>
  </si>
  <si>
    <t xml:space="preserve">ALAFM ENCNLH                  </t>
  </si>
  <si>
    <t xml:space="preserve">ESCOBAR MELVIN L LCSW         </t>
  </si>
  <si>
    <t xml:space="preserve">ESCOBAR MELV                  </t>
  </si>
  <si>
    <t xml:space="preserve">WANG SHEILA E LCSW            </t>
  </si>
  <si>
    <t xml:space="preserve">WANG SHEILA                   </t>
  </si>
  <si>
    <t>MULTILINGUAL SAN LEANDRO MH AD</t>
  </si>
  <si>
    <t xml:space="preserve">MLCSNLDRO MH                  </t>
  </si>
  <si>
    <t>MILHOUS PVALLEY HLF DY INT CHD</t>
  </si>
  <si>
    <t xml:space="preserve">MILHOUSPVHDY                  </t>
  </si>
  <si>
    <t xml:space="preserve">MILHOUS PENN VALLEY MHS CHILD </t>
  </si>
  <si>
    <t xml:space="preserve">MILHOUS PVLY                  </t>
  </si>
  <si>
    <t>MILHOUS PENN VALLEY TBS MHS CH</t>
  </si>
  <si>
    <t xml:space="preserve">MILHOUSPVTBS                  </t>
  </si>
  <si>
    <t xml:space="preserve">HCSA CHSC BRET HARTE OAK SCH  </t>
  </si>
  <si>
    <t xml:space="preserve">HCSA BRTHRTO                  </t>
  </si>
  <si>
    <t xml:space="preserve">HCSA CHSC CLAREMONT SCHOOL    </t>
  </si>
  <si>
    <t xml:space="preserve">HCSA CLARMNT                  </t>
  </si>
  <si>
    <t xml:space="preserve">HCSA CHSC ELMHURST CPREP SCH  </t>
  </si>
  <si>
    <t xml:space="preserve">HCSAELMH CPR                  </t>
  </si>
  <si>
    <t xml:space="preserve">HCSA CHSC ELMHRST ALLACAD SCH </t>
  </si>
  <si>
    <t xml:space="preserve">HCSAELM ALAC                  </t>
  </si>
  <si>
    <t xml:space="preserve">HCSA CHSC EDNA BREWER SCH     </t>
  </si>
  <si>
    <t xml:space="preserve">HCSA EDBREWR                  </t>
  </si>
  <si>
    <t xml:space="preserve">HCSA CHSC MADISON SCHOOL      </t>
  </si>
  <si>
    <t xml:space="preserve">HSCA MADISON                  </t>
  </si>
  <si>
    <t xml:space="preserve">HCSA CHSC ROOSEVELT SCHOOL    </t>
  </si>
  <si>
    <t xml:space="preserve">HCSA ROOSVLT                  </t>
  </si>
  <si>
    <t xml:space="preserve">HCSA CHSC WESTLAKE SCHOOL     </t>
  </si>
  <si>
    <t xml:space="preserve">HCSA WLAKE                    </t>
  </si>
  <si>
    <t xml:space="preserve">HCSA CHSC COLISEUM CPREP SCH  </t>
  </si>
  <si>
    <t xml:space="preserve">HCSACOLCPREP                  </t>
  </si>
  <si>
    <t xml:space="preserve">HCSA CHSC SKYLINE H SCHOOL    </t>
  </si>
  <si>
    <t xml:space="preserve">HCSA SKYLINE                  </t>
  </si>
  <si>
    <t xml:space="preserve">HCSA CHSC UNITED4SUCCES SCH   </t>
  </si>
  <si>
    <t xml:space="preserve">HCSA U4SUCES                  </t>
  </si>
  <si>
    <t xml:space="preserve">HCSA CHSC WEST OAKLAND SCH    </t>
  </si>
  <si>
    <t xml:space="preserve">HCSA WOAKLAN                  </t>
  </si>
  <si>
    <t xml:space="preserve">HCSA CHSC CESAR CHAVEZ SCHOOL </t>
  </si>
  <si>
    <t xml:space="preserve">HCSA CCHAVEZ                  </t>
  </si>
  <si>
    <t xml:space="preserve">HCSA CHSC CHERRYLAND SCHOOL   </t>
  </si>
  <si>
    <t xml:space="preserve">HCSA CHRYLND                  </t>
  </si>
  <si>
    <t xml:space="preserve">HCSA CHSC GLASSBROOK SCHOOL   </t>
  </si>
  <si>
    <t xml:space="preserve">HCSA GLSBROK                  </t>
  </si>
  <si>
    <t xml:space="preserve">HCSA CHSC LONGWOOD SCHOOL     </t>
  </si>
  <si>
    <t xml:space="preserve">HCSA LNGWOOD                  </t>
  </si>
  <si>
    <t xml:space="preserve">HCSA CHSC SOUTHGATE SCHOOL    </t>
  </si>
  <si>
    <t xml:space="preserve">HCSA SGATE                    </t>
  </si>
  <si>
    <t xml:space="preserve">HCSA CHSC RUUS SCHOOL         </t>
  </si>
  <si>
    <t xml:space="preserve">HCSA RUUS                     </t>
  </si>
  <si>
    <t xml:space="preserve">HCSA CHSC TREEVIEW SCHOOL     </t>
  </si>
  <si>
    <t xml:space="preserve">HCSA TREVIEW                  </t>
  </si>
  <si>
    <t xml:space="preserve">HCSA CHSC WINTON SCHOOL       </t>
  </si>
  <si>
    <t xml:space="preserve">HCSA WINTON                   </t>
  </si>
  <si>
    <t xml:space="preserve">HCSA CHSC BOWMAN SCHOOL       </t>
  </si>
  <si>
    <t xml:space="preserve">HCSA BOWMAN                   </t>
  </si>
  <si>
    <t>HCSA CHSC BRETHART HAYWARD SCH</t>
  </si>
  <si>
    <t xml:space="preserve">HCSA BHRT HY                  </t>
  </si>
  <si>
    <t xml:space="preserve">HCSA CHSC HARDER SCHOOL       </t>
  </si>
  <si>
    <t xml:space="preserve">HCSA HARDER                   </t>
  </si>
  <si>
    <t xml:space="preserve">HCSA CHSC KING SCHOOL         </t>
  </si>
  <si>
    <t xml:space="preserve">HCSA KING                     </t>
  </si>
  <si>
    <t xml:space="preserve">HCSA CHSC OCHOA SCHOOL        </t>
  </si>
  <si>
    <t xml:space="preserve">HCSA OCHOA                    </t>
  </si>
  <si>
    <t xml:space="preserve">HCSA CHSC BRENKWITZ SCHOOL    </t>
  </si>
  <si>
    <t xml:space="preserve">HCSA BRENKWZ                  </t>
  </si>
  <si>
    <t xml:space="preserve">HCSA CHSC HAYWARD UNIFIED SD  </t>
  </si>
  <si>
    <t xml:space="preserve">HCSA HAYUNIF                  </t>
  </si>
  <si>
    <t>HCSA CHSC NEW HAVEN UNIFIED SD</t>
  </si>
  <si>
    <t xml:space="preserve">HCSA NHAVENU                  </t>
  </si>
  <si>
    <t xml:space="preserve">HCSA CHSC NEWARK UNIFIED SD   </t>
  </si>
  <si>
    <t xml:space="preserve">HCSA NEWARKU                  </t>
  </si>
  <si>
    <t>HCSA CHSC SAN LEANDRO UNIFD SD</t>
  </si>
  <si>
    <t xml:space="preserve">HCSA SLENDRU                  </t>
  </si>
  <si>
    <t xml:space="preserve">HCSA CHSC ASHLAND YOUTH CTR   </t>
  </si>
  <si>
    <t xml:space="preserve">HCSA ASHLDYT                  </t>
  </si>
  <si>
    <t>SENECA SOUTHGATE ESY MHS CHILD</t>
  </si>
  <si>
    <t xml:space="preserve">SENECA SGATE                  </t>
  </si>
  <si>
    <t xml:space="preserve">SENECA MTEDEN EPSDT MHS CHILD </t>
  </si>
  <si>
    <t xml:space="preserve">SEN MTEDN CH                  </t>
  </si>
  <si>
    <t xml:space="preserve">FAMILY SVC OF SF MHS ADULT    </t>
  </si>
  <si>
    <t xml:space="preserve">FAMSVC MH AD                  </t>
  </si>
  <si>
    <t xml:space="preserve">FAMILY SVC OF SF MHS CHILD    </t>
  </si>
  <si>
    <t xml:space="preserve">FAMSVC MH CH                  </t>
  </si>
  <si>
    <t>SENECA CSRCHAVEZ EPSDT MHS CHD</t>
  </si>
  <si>
    <t xml:space="preserve">SEN EP CHVZ                   </t>
  </si>
  <si>
    <t>SENECA SEARLES EPSDT MHS CHILD</t>
  </si>
  <si>
    <t xml:space="preserve">SEN EP SEARL                  </t>
  </si>
  <si>
    <t>SENECA ALLENDALE ESY MHS CHILD</t>
  </si>
  <si>
    <t xml:space="preserve">SEN ALNDALE                   </t>
  </si>
  <si>
    <t xml:space="preserve">A BETTER WAY EPSDT MHS CHILD  </t>
  </si>
  <si>
    <t xml:space="preserve">BETTERWAY EP                  </t>
  </si>
  <si>
    <t xml:space="preserve">E BAY COMM SUTRO HFDY REH ADL </t>
  </si>
  <si>
    <t xml:space="preserve">EBCRP HFDYRE                  </t>
  </si>
  <si>
    <t>E BAY COMM SUTRO CALWKS MH ADL</t>
  </si>
  <si>
    <t xml:space="preserve">EBCRP CALWKS                  </t>
  </si>
  <si>
    <t>E BAY COMM OAKLND HFDY REH ADL</t>
  </si>
  <si>
    <t>SENECA ROSA PARKS ESY MHS CHLD</t>
  </si>
  <si>
    <t xml:space="preserve">SEN RPRKS CH                  </t>
  </si>
  <si>
    <t xml:space="preserve">SENECA HAYWARD HIGH MHS CHILD </t>
  </si>
  <si>
    <t xml:space="preserve">SEN HHIGH CH                  </t>
  </si>
  <si>
    <t>ALAMEDA FAM SRV ALMHISCH MH CH</t>
  </si>
  <si>
    <t xml:space="preserve">ALAFAM AHIGH                  </t>
  </si>
  <si>
    <t>TIBURCIO CESAR CHAVEZ MHS CHLD</t>
  </si>
  <si>
    <t xml:space="preserve">TVHC CCHAVEZ                  </t>
  </si>
  <si>
    <t>TIBURCIO TENNYSON HS MHS CHILD</t>
  </si>
  <si>
    <t xml:space="preserve">TVHC TNYSNHS                  </t>
  </si>
  <si>
    <t xml:space="preserve">TIBURCIO HARDER SCH MHS CHILD </t>
  </si>
  <si>
    <t xml:space="preserve">TVHC HARDER                   </t>
  </si>
  <si>
    <t xml:space="preserve">ABODE SVCS OUTREACH HOMELESS  </t>
  </si>
  <si>
    <t xml:space="preserve">ABODE HOMLES                  </t>
  </si>
  <si>
    <t xml:space="preserve">KELLY PEGGY PHD               </t>
  </si>
  <si>
    <t xml:space="preserve">KELLY PEGGY                   </t>
  </si>
  <si>
    <t xml:space="preserve">PAZDIREK LINDA MFT            </t>
  </si>
  <si>
    <t xml:space="preserve">PAZDIREK LIN                  </t>
  </si>
  <si>
    <t xml:space="preserve">MADDELA MARIA MFT             </t>
  </si>
  <si>
    <t xml:space="preserve">MADDELA MARI                  </t>
  </si>
  <si>
    <t xml:space="preserve">DOWNING SAMATRA M LCSW        </t>
  </si>
  <si>
    <t xml:space="preserve">DOWNING SAMA                  </t>
  </si>
  <si>
    <t xml:space="preserve">SRP - GRAND LAKE HOMES 2      </t>
  </si>
  <si>
    <t xml:space="preserve">SRP GRNDLKE2                  </t>
  </si>
  <si>
    <t>ALAMEDA FAM SRV RBRDGES MH CHD</t>
  </si>
  <si>
    <t xml:space="preserve">ALAFAM RUBYB                  </t>
  </si>
  <si>
    <t>STARS FAITH RINGGOLD MHS CHILD</t>
  </si>
  <si>
    <t xml:space="preserve">STARS FRNGLD                  </t>
  </si>
  <si>
    <t>BOSS OAK SRTEAM2 HOUS SUPT SRV</t>
  </si>
  <si>
    <t xml:space="preserve">BOSS TM2 HSS                  </t>
  </si>
  <si>
    <t xml:space="preserve">MALONEY CAROLYN J LCSW        </t>
  </si>
  <si>
    <t xml:space="preserve">MALONEY CARO                  </t>
  </si>
  <si>
    <t>GOALS FOR WOMEN CNTY PAY MNDLA</t>
  </si>
  <si>
    <t xml:space="preserve">GOALSCNTYPAY                  </t>
  </si>
  <si>
    <t>TIBURCIO SILVA CLINIC MHS CHLD</t>
  </si>
  <si>
    <t xml:space="preserve">TVHC SILVAMH                  </t>
  </si>
  <si>
    <t xml:space="preserve">TIBURCIO LOGAN HS MHS CHILD   </t>
  </si>
  <si>
    <t xml:space="preserve">TVHC LOGANMH                  </t>
  </si>
  <si>
    <t>HCSA CHSC FAITH RING ART-S SCH</t>
  </si>
  <si>
    <t xml:space="preserve">HCSA FTHRING                  </t>
  </si>
  <si>
    <t xml:space="preserve">ELWOOD ALLISON E MFT          </t>
  </si>
  <si>
    <t xml:space="preserve">ELWOOD ALLIS                  </t>
  </si>
  <si>
    <t xml:space="preserve">RASHID KATHRINA L MFT         </t>
  </si>
  <si>
    <t xml:space="preserve">RASHID KATHR                  </t>
  </si>
  <si>
    <t xml:space="preserve">ANN MARTIN FRANKLIN MHS CHILD </t>
  </si>
  <si>
    <t xml:space="preserve">AM FRANKLIN                   </t>
  </si>
  <si>
    <t>ANN MARTIN BROOKFIELD MHS CHLD</t>
  </si>
  <si>
    <t xml:space="preserve">AM BROOKFLD                   </t>
  </si>
  <si>
    <t>CSS LINCOLN HIGH SCH MHS CHILD</t>
  </si>
  <si>
    <t xml:space="preserve">CSS LINCOLN                   </t>
  </si>
  <si>
    <t xml:space="preserve">WEST COAST T-CAP MHS CHILD    </t>
  </si>
  <si>
    <t xml:space="preserve">WCOAST T-CAP                  </t>
  </si>
  <si>
    <t>SHERIFF YFSB REACH AYC MHS CHD</t>
  </si>
  <si>
    <t xml:space="preserve">SHRFREACH CH                  </t>
  </si>
  <si>
    <t xml:space="preserve">SHERIFF YFSB REACH AYC MH TAY </t>
  </si>
  <si>
    <t xml:space="preserve">SHRFREACH TY                  </t>
  </si>
  <si>
    <t>LINCOLN FREMONT HIGH MHS CHILD</t>
  </si>
  <si>
    <t xml:space="preserve">LINC FRMNTCH                  </t>
  </si>
  <si>
    <t>PORTIA BELL MHS CHLD PLEASANTN</t>
  </si>
  <si>
    <t xml:space="preserve">PBELL PLSNTN                  </t>
  </si>
  <si>
    <t>PORTIA BELL LEV 2 ADLT PLSNTON</t>
  </si>
  <si>
    <t xml:space="preserve">PBELL LV2 PL                  </t>
  </si>
  <si>
    <t>EBAC BANCROFT MID SCH MHS CHLD</t>
  </si>
  <si>
    <t xml:space="preserve">EBAC BNCROFT                  </t>
  </si>
  <si>
    <t>EBAC WILSON ELEM SCH MHS CHILD</t>
  </si>
  <si>
    <t xml:space="preserve">EBAC WILSON                   </t>
  </si>
  <si>
    <t>EBAC MACGREGOR AEC SCH MHS CHD</t>
  </si>
  <si>
    <t xml:space="preserve">EBAC MCGREGR                  </t>
  </si>
  <si>
    <t xml:space="preserve">EBAC SAN LEANDRO HS MHS CHILD </t>
  </si>
  <si>
    <t xml:space="preserve">EBAC SNLNDRO                  </t>
  </si>
  <si>
    <t>CITY OF FREMONT ROBERTSNSCH CH</t>
  </si>
  <si>
    <t xml:space="preserve">EBAC DEWEY ACADEMY MHS CHILD  </t>
  </si>
  <si>
    <t xml:space="preserve">EBAC DEWEYAC                  </t>
  </si>
  <si>
    <t>EBAC CABRILLO ELEM SCH MHS CHD</t>
  </si>
  <si>
    <t xml:space="preserve">EBACCABRLOSC                  </t>
  </si>
  <si>
    <t>EBAC DURHAM ELEM SCH MHS CHILD</t>
  </si>
  <si>
    <t xml:space="preserve">EBAC DURHMES                  </t>
  </si>
  <si>
    <t>GIRLS INC DOWNTWN OAKLND MH CH</t>
  </si>
  <si>
    <t xml:space="preserve">GIRLS DOAKLD                  </t>
  </si>
  <si>
    <t>OAKLAND SCHOOLS PRG EXCEP CHLD</t>
  </si>
  <si>
    <t xml:space="preserve">OAK PRGEXCEP                  </t>
  </si>
  <si>
    <t xml:space="preserve">SENECA WINTON MID SCH MHS TAY </t>
  </si>
  <si>
    <t xml:space="preserve">SEN WNTNMSCH                  </t>
  </si>
  <si>
    <t>SENECA LORIN EDEN ESCH MH CHLD</t>
  </si>
  <si>
    <t xml:space="preserve">SEN LEDEN ES                  </t>
  </si>
  <si>
    <t>SENECA TENNYSON HIGH SCH MH CH</t>
  </si>
  <si>
    <t xml:space="preserve">SEN TENYSNHI                  </t>
  </si>
  <si>
    <t>SENECA BRENKWITZ HIGHSCH MH CH</t>
  </si>
  <si>
    <t xml:space="preserve">SEN BKWITZHI                  </t>
  </si>
  <si>
    <t>SENECA REDWOOD HIGH SCH MH CHD</t>
  </si>
  <si>
    <t xml:space="preserve">SEN RDWOODHI                  </t>
  </si>
  <si>
    <t>FFYC WESTLAKE MID SCH MHS CHLD</t>
  </si>
  <si>
    <t xml:space="preserve">FFYC WLAKESC                  </t>
  </si>
  <si>
    <t>FFYC SKYLINE HIGH SCH MHS CHLD</t>
  </si>
  <si>
    <t xml:space="preserve">FFYC SKYLNHS                  </t>
  </si>
  <si>
    <t>FFYC MONTERA HIGH SCH MHS CHLD</t>
  </si>
  <si>
    <t xml:space="preserve">FFYC MNTRAHS                  </t>
  </si>
  <si>
    <t>SENECA HGREEN ELEM SCH MHS CHD</t>
  </si>
  <si>
    <t xml:space="preserve">SENECA HGREN                  </t>
  </si>
  <si>
    <t>SENECA MT EDEN HIGH SCH MHS CH</t>
  </si>
  <si>
    <t xml:space="preserve">SENECA MTEDN                  </t>
  </si>
  <si>
    <t>SENECA LNGWOOD ELEM SCH MH CHD</t>
  </si>
  <si>
    <t xml:space="preserve">SEN LNGWD CH                  </t>
  </si>
  <si>
    <t xml:space="preserve">CRISIS SUPPORT SVC ALACO MAA  </t>
  </si>
  <si>
    <t xml:space="preserve">CRISIS MAA                    </t>
  </si>
  <si>
    <t>TIBURCIO WINTON MID SCH MH CHD</t>
  </si>
  <si>
    <t xml:space="preserve">TVHC WINTON                   </t>
  </si>
  <si>
    <t>TIBURCIO EDENDALE MIDSCH MH CH</t>
  </si>
  <si>
    <t xml:space="preserve">TVHC EDNDALE                  </t>
  </si>
  <si>
    <t>TIBURCIO BOHANNON MIDSCH MH CH</t>
  </si>
  <si>
    <t xml:space="preserve">TVHC BOHANON                  </t>
  </si>
  <si>
    <t xml:space="preserve">TRUST CLINIC MHS ADULT        </t>
  </si>
  <si>
    <t xml:space="preserve">TRUST CLINIC                  </t>
  </si>
  <si>
    <t xml:space="preserve">GOPAL ABILASH A MD            </t>
  </si>
  <si>
    <t xml:space="preserve">GOPAL ABILAS                  </t>
  </si>
  <si>
    <t xml:space="preserve">OLMSTED REBECCA J MFT         </t>
  </si>
  <si>
    <t xml:space="preserve">OLMSTED REBE                  </t>
  </si>
  <si>
    <t xml:space="preserve">NORRIS SANDRA E MFT           </t>
  </si>
  <si>
    <t xml:space="preserve">NORRIS SANDR                  </t>
  </si>
  <si>
    <t xml:space="preserve">WALKER XANTHIPPE B MFT        </t>
  </si>
  <si>
    <t xml:space="preserve">WALKER XANTH                  </t>
  </si>
  <si>
    <t>LINCOLN ESPERANZA SCH MHS CHLD</t>
  </si>
  <si>
    <t xml:space="preserve">LIN EXPERSCH                  </t>
  </si>
  <si>
    <t>SENECA CRISIS STAB CH WILOWRCK</t>
  </si>
  <si>
    <t xml:space="preserve">SEN CRST WRK                  </t>
  </si>
  <si>
    <t>LINCOLN LAUREL SCHOOL MHS CHLD</t>
  </si>
  <si>
    <t xml:space="preserve">LINLAUREL CH                  </t>
  </si>
  <si>
    <t xml:space="preserve">JONES-KAZAN DENISE L LCSW     </t>
  </si>
  <si>
    <t xml:space="preserve">JONES-KAZAND                  </t>
  </si>
  <si>
    <t xml:space="preserve">KUNG JENNY L MFT              </t>
  </si>
  <si>
    <t xml:space="preserve">KUNG JENNY L                  </t>
  </si>
  <si>
    <t>SENECA BLDG BLOCKS NPSCE MH CH</t>
  </si>
  <si>
    <t xml:space="preserve">SENBBLKS NPS                  </t>
  </si>
  <si>
    <t>SENECA BBLOCKS NPSCE MHCHD K-1</t>
  </si>
  <si>
    <t xml:space="preserve">SENBB NPSK-1                  </t>
  </si>
  <si>
    <t>SENECA ARLINGTON NPSCE MHS CHD</t>
  </si>
  <si>
    <t xml:space="preserve">SENARLTN NPS                  </t>
  </si>
  <si>
    <t>SENECA CHAPELWYFRE NPSCE MH CH</t>
  </si>
  <si>
    <t xml:space="preserve">SENFRMNT NPS                  </t>
  </si>
  <si>
    <t>AIU LINCOLN HIGH SCH MHS CHILD</t>
  </si>
  <si>
    <t xml:space="preserve">AIU LINCLNHS                  </t>
  </si>
  <si>
    <t>PORTIA BELL HUME MHS 0-5 CHILD</t>
  </si>
  <si>
    <t xml:space="preserve">PORBELL 0-5                   </t>
  </si>
  <si>
    <t>EBAC THERP SCH NPSCE MHS CHILD</t>
  </si>
  <si>
    <t xml:space="preserve">EBAC NPSCE                    </t>
  </si>
  <si>
    <t>LINCOLN CHILD OAKTECH MHS CHLD</t>
  </si>
  <si>
    <t xml:space="preserve">LINC OAKTECH                  </t>
  </si>
  <si>
    <t>LINCOLN CHILD VNCENTSCH MH CHD</t>
  </si>
  <si>
    <t xml:space="preserve">LINC VNCT CH                  </t>
  </si>
  <si>
    <t>EBAC LAFAYETTE SCH ICE MHS CHD</t>
  </si>
  <si>
    <t xml:space="preserve">EBAC LFYTICE                  </t>
  </si>
  <si>
    <t>OAKLAND SCHOOLS LAFAYETTE CHLD</t>
  </si>
  <si>
    <t xml:space="preserve">OAK LAFAYETE                  </t>
  </si>
  <si>
    <t>PORTIA BELL CALWKS HYWRD MH AD</t>
  </si>
  <si>
    <t xml:space="preserve">PBELLCLWKHAY                  </t>
  </si>
  <si>
    <t>OAKLAND SCHOOLS TECHFASH MH CH</t>
  </si>
  <si>
    <t xml:space="preserve">OAKTECH FASH                  </t>
  </si>
  <si>
    <t>SENECA LIGHTHSE CHRTERSCH MHCH</t>
  </si>
  <si>
    <t xml:space="preserve">SEN CHRTRSCH                  </t>
  </si>
  <si>
    <t>SENECA ASPIRE MILSMNT MHS CHLD</t>
  </si>
  <si>
    <t xml:space="preserve">SENASPIRE CH                  </t>
  </si>
  <si>
    <t>SENECA LRNG W/OUT LIMITS MH CH</t>
  </si>
  <si>
    <t xml:space="preserve">SEN LEARNING                  </t>
  </si>
  <si>
    <t xml:space="preserve">PORTIA BELL LEV III MHS ADULT </t>
  </si>
  <si>
    <t xml:space="preserve">PBELL LEV3AD                  </t>
  </si>
  <si>
    <t xml:space="preserve">BARRUETO  GRACE C MFT         </t>
  </si>
  <si>
    <t xml:space="preserve">BARRUETO GRA                  </t>
  </si>
  <si>
    <t xml:space="preserve">EL-SHEIKH  NATALIA MFT        </t>
  </si>
  <si>
    <t xml:space="preserve">EL-SHEIKH NA                  </t>
  </si>
  <si>
    <t xml:space="preserve">ENGELDINGER TIFFANY MFT       </t>
  </si>
  <si>
    <t xml:space="preserve">ENGELDINGER                   </t>
  </si>
  <si>
    <t xml:space="preserve">VARGAS  ELLEN T LCSW          </t>
  </si>
  <si>
    <t xml:space="preserve">VARGAS ELLEN                  </t>
  </si>
  <si>
    <t xml:space="preserve">CHEN  I-CHUNG MD              </t>
  </si>
  <si>
    <t xml:space="preserve">CHEN I-CHUNG                  </t>
  </si>
  <si>
    <t>PORTIA BELL JUNCTION SCH MH CH</t>
  </si>
  <si>
    <t xml:space="preserve">PBELL JUNCSC                  </t>
  </si>
  <si>
    <t>PORTIA BELL MARYLIN SCH MH CHD</t>
  </si>
  <si>
    <t xml:space="preserve">PBELLMRLINSC                  </t>
  </si>
  <si>
    <t>AIU REDWOOD HIGH SCH MHS CHILD</t>
  </si>
  <si>
    <t xml:space="preserve">AIU REDWDSCH                  </t>
  </si>
  <si>
    <t>AIU JR JETS ENCINAL HIGH MH CH</t>
  </si>
  <si>
    <t xml:space="preserve">AIU JRJETSCH                  </t>
  </si>
  <si>
    <t xml:space="preserve">HCSA CHSC REALM MIDDLE SCHOOL </t>
  </si>
  <si>
    <t xml:space="preserve">HCSA REALMMI                  </t>
  </si>
  <si>
    <t>FFYC WESTLKE ESY@MNTRAHIGH CHD</t>
  </si>
  <si>
    <t xml:space="preserve">FFYC MTRAESY                  </t>
  </si>
  <si>
    <t xml:space="preserve">FFYC SKYLN ESY_OAKHIGH MH CH  </t>
  </si>
  <si>
    <t xml:space="preserve">FFYC ESYOAKH                  </t>
  </si>
  <si>
    <t>BAYFRONT YOUTH DAY INT FL CHLD</t>
  </si>
  <si>
    <t xml:space="preserve">BAYFRNT FLDY                  </t>
  </si>
  <si>
    <t xml:space="preserve">OAKLAND SKYLINE HIGH MH CHILD </t>
  </si>
  <si>
    <t xml:space="preserve">OAK SKYLN HI                  </t>
  </si>
  <si>
    <t>ASIAN CENTRAL CO YOUTH MH CHLD</t>
  </si>
  <si>
    <t xml:space="preserve">ASIAN CNTRAL                  </t>
  </si>
  <si>
    <t>SENECA CRAGMNT ESY @ MLCOMX CH</t>
  </si>
  <si>
    <t xml:space="preserve">SEN ESYMLCOM                  </t>
  </si>
  <si>
    <t xml:space="preserve">SENECA WNTN ESY_BRKWITZSCH CH </t>
  </si>
  <si>
    <t xml:space="preserve">SEN ESYBWITZ                  </t>
  </si>
  <si>
    <t xml:space="preserve">SENECA ESY_SOUTHGATE SCH CHD  </t>
  </si>
  <si>
    <t xml:space="preserve">SEN ESYSGATE                  </t>
  </si>
  <si>
    <t>SENECA TNYSON ESY @ MTEDEN SCH</t>
  </si>
  <si>
    <t xml:space="preserve">SEN ESYMTEDN                  </t>
  </si>
  <si>
    <t xml:space="preserve">KIMBLE-PRICE LEAH R MFT       </t>
  </si>
  <si>
    <t xml:space="preserve">KIMBLE-PRICE                  </t>
  </si>
  <si>
    <t xml:space="preserve">CITY OF BERKELEY MCT SERVICES </t>
  </si>
  <si>
    <t xml:space="preserve">BE MCT SVCS                   </t>
  </si>
  <si>
    <t>ALAMEDA RUBY BRIDGES ES MH CHD</t>
  </si>
  <si>
    <t xml:space="preserve">ALA RBRIDGES                  </t>
  </si>
  <si>
    <t>OAKLAND GREENLEAF ELEMSCH CHLD</t>
  </si>
  <si>
    <t xml:space="preserve">OAK GLEAF CH                  </t>
  </si>
  <si>
    <t>LINCOLN CHILD HOPE@OAKHS MH CH</t>
  </si>
  <si>
    <t xml:space="preserve">LINC H@OAKHS                  </t>
  </si>
  <si>
    <t>BAYFRONT YOUTH MEDICATION CHLD</t>
  </si>
  <si>
    <t xml:space="preserve">BAYFRNT MEDS                  </t>
  </si>
  <si>
    <t xml:space="preserve">BAYFRONT YOUTH TBS MHS CHILD  </t>
  </si>
  <si>
    <t xml:space="preserve">BAYFRONT TBS                  </t>
  </si>
  <si>
    <t xml:space="preserve">PEDELABORDE JENNIFER A MFT    </t>
  </si>
  <si>
    <t xml:space="preserve">PEDELABORDE                   </t>
  </si>
  <si>
    <t xml:space="preserve">ROBINSON STACY L LCSW         </t>
  </si>
  <si>
    <t xml:space="preserve">ROBINSON STA                  </t>
  </si>
  <si>
    <t>ANN MARTIN HOWARD ELEM SCH CHD</t>
  </si>
  <si>
    <t xml:space="preserve">AMART HWRDSC                  </t>
  </si>
  <si>
    <t>CSS SAN LEANDRO HIGH SC MH CHD</t>
  </si>
  <si>
    <t xml:space="preserve">CSS SLNDROHS                  </t>
  </si>
  <si>
    <t xml:space="preserve">CSS HIGHLAND SCHOOL MHS CHILD </t>
  </si>
  <si>
    <t xml:space="preserve">CSS HIGHLAND                  </t>
  </si>
  <si>
    <t xml:space="preserve">MENTAL HEALTH ASSOC ADV FERC  </t>
  </si>
  <si>
    <t xml:space="preserve">MHASSOC FERC                  </t>
  </si>
  <si>
    <t>CITY OF FREMONT ARDENWD SCH CH</t>
  </si>
  <si>
    <t xml:space="preserve">CTYFR ARDNWD                  </t>
  </si>
  <si>
    <t>CITY OF FREMONT AZEVADA SCH CH</t>
  </si>
  <si>
    <t xml:space="preserve">CTYFR AZEVAD                  </t>
  </si>
  <si>
    <t>CITY OF FREMONT BRIER SCH CHLD</t>
  </si>
  <si>
    <t xml:space="preserve">CTYFR BRIER                   </t>
  </si>
  <si>
    <t>CITY OF FREMONT CHADBRNESCH CH</t>
  </si>
  <si>
    <t xml:space="preserve">CTYFR CHADBN                  </t>
  </si>
  <si>
    <t>CITY OF FREMONT GRIMMER SCH CH</t>
  </si>
  <si>
    <t xml:space="preserve">CTYFR GRMMER                  </t>
  </si>
  <si>
    <t>CITY OF FREMONT MILLARD SCH CH</t>
  </si>
  <si>
    <t xml:space="preserve">CTYFR MILLRD                  </t>
  </si>
  <si>
    <t>CITY OF FREMONT MISNVAL SCH CH</t>
  </si>
  <si>
    <t xml:space="preserve">CTYFR MISNVA                  </t>
  </si>
  <si>
    <t>CITY OF FREMONT PARKMNT SCH CH</t>
  </si>
  <si>
    <t xml:space="preserve">CTYFR PRKMNT                  </t>
  </si>
  <si>
    <t>CITY OF FREMONT WRMSPRNGSCH CH</t>
  </si>
  <si>
    <t xml:space="preserve">CTYFR WARMSP                  </t>
  </si>
  <si>
    <t>CITY OF FREMONT IRVNGTN SCH CH</t>
  </si>
  <si>
    <t xml:space="preserve">CTYFR IRVGTN                  </t>
  </si>
  <si>
    <t>LA CLINICA FREMONT HIGH SCH CH</t>
  </si>
  <si>
    <t xml:space="preserve">LACLIN FRMNT                  </t>
  </si>
  <si>
    <t>LIFELONG MCARE HARSN HOTEL ADL</t>
  </si>
  <si>
    <t xml:space="preserve">LIFELNG HHTL                  </t>
  </si>
  <si>
    <t>LIFELONG MED CARE CA HOTEL ADL</t>
  </si>
  <si>
    <t xml:space="preserve">LIFELNG CHTL                  </t>
  </si>
  <si>
    <t>LINCOLN HOWARD ELEM SCH MH CHD</t>
  </si>
  <si>
    <t xml:space="preserve">LINC HOWARDR                  </t>
  </si>
  <si>
    <t>CITY OF FREMONT BLACOW SCH CHD</t>
  </si>
  <si>
    <t xml:space="preserve">CTYFR BLACOW                  </t>
  </si>
  <si>
    <t>CITY OF FREMONT WEIBEL SCH CHD</t>
  </si>
  <si>
    <t xml:space="preserve">CTYFR WEIBEL                  </t>
  </si>
  <si>
    <t>CITY OF FREMONT PATERSN SCH CH</t>
  </si>
  <si>
    <t xml:space="preserve">CTYFR PATRSN                  </t>
  </si>
  <si>
    <t>CITY OF FREMONT FORSTPRKSCH CH</t>
  </si>
  <si>
    <t xml:space="preserve">CTYFR FRSTPR                  </t>
  </si>
  <si>
    <t>CITY OF FREMONT AMERICANSCH CH</t>
  </si>
  <si>
    <t xml:space="preserve">CTYFR AMERCN                  </t>
  </si>
  <si>
    <t>CITY OF FREMONT MSNJOSE SCH CH</t>
  </si>
  <si>
    <t xml:space="preserve">CTYFR MSNJOS                  </t>
  </si>
  <si>
    <t>CITY OF FREMONT VALEJOML SC CH</t>
  </si>
  <si>
    <t xml:space="preserve">CTYFR VALMIL                  </t>
  </si>
  <si>
    <t>CITY OF FREMONT KENNEDY SCH CH</t>
  </si>
  <si>
    <t xml:space="preserve">CTYFR KENNDY                  </t>
  </si>
  <si>
    <t>FFYC URBAN PROMISE ACDMY MH CH</t>
  </si>
  <si>
    <t xml:space="preserve">FFYC URBANPR                  </t>
  </si>
  <si>
    <t>OAKLAND SCHOOLS MCCLYMONDS CHD</t>
  </si>
  <si>
    <t xml:space="preserve">OAK MCCLYMND                  </t>
  </si>
  <si>
    <t>OAKLAND SCHOOLS SKYLINE MH CHD</t>
  </si>
  <si>
    <t xml:space="preserve">OAK SKYLINE                   </t>
  </si>
  <si>
    <t>WEST COAST CATCH 21 TRIAGE TAY</t>
  </si>
  <si>
    <t xml:space="preserve">WCOAST TRIAG                  </t>
  </si>
  <si>
    <t>STARS CORVALLIS ELEM SCH MH CH</t>
  </si>
  <si>
    <t xml:space="preserve">STARS CORVLS                  </t>
  </si>
  <si>
    <t>LINCOLN FRUITVALE ELEM SCH CHD</t>
  </si>
  <si>
    <t xml:space="preserve">LINC FRUITVL                  </t>
  </si>
  <si>
    <t>FFYC BRENKWITZ SCHOOL MHS CHLD</t>
  </si>
  <si>
    <t xml:space="preserve">FFYC BRENKWZ                  </t>
  </si>
  <si>
    <t xml:space="preserve">FFYC LIFE ACADEMY MH CH       </t>
  </si>
  <si>
    <t xml:space="preserve">FFYC LIFEACA                  </t>
  </si>
  <si>
    <t>FFYC MONTERA MIDDLE SCH MH CHD</t>
  </si>
  <si>
    <t>FFYC BRET HARTE MID SCH MH CHD</t>
  </si>
  <si>
    <t xml:space="preserve">FFYC BRETHRT                  </t>
  </si>
  <si>
    <t>FFYC OCHOA MIDDLE SCH MHS CHLD</t>
  </si>
  <si>
    <t xml:space="preserve">FFYC OCHOASC                  </t>
  </si>
  <si>
    <t>EBAC SCHILLING ELEM SCH MH CHD</t>
  </si>
  <si>
    <t xml:space="preserve">EBAC SCHILNG                  </t>
  </si>
  <si>
    <t>EBAC THINK COLLEGE NOW SCH CHD</t>
  </si>
  <si>
    <t xml:space="preserve">EBAC THINKCO                  </t>
  </si>
  <si>
    <t>FFYC MADISON PARK ACDMY MH CHD</t>
  </si>
  <si>
    <t xml:space="preserve">FFYC MADSNPK                  </t>
  </si>
  <si>
    <t>FFYC EDNA BREWER SCHOOL MH CHD</t>
  </si>
  <si>
    <t xml:space="preserve">FFYC EBREWER                  </t>
  </si>
  <si>
    <t>MILHOUS PVALLEY FL DAY INT CHD</t>
  </si>
  <si>
    <t xml:space="preserve">MILHOUS PVFL                  </t>
  </si>
  <si>
    <t>STARS COMM SVCS MHS TAY TRIAGE</t>
  </si>
  <si>
    <t xml:space="preserve">STARS TRIAGE                  </t>
  </si>
  <si>
    <t xml:space="preserve">HAZER AMY L LCSW              </t>
  </si>
  <si>
    <t xml:space="preserve">HAZER AMY                     </t>
  </si>
  <si>
    <t xml:space="preserve">FELTON INSTITUTE EPP TAY      </t>
  </si>
  <si>
    <t xml:space="preserve">FELT EPP TAY                  </t>
  </si>
  <si>
    <t>FAMILY SVC OF SF DCCS MH ADULT</t>
  </si>
  <si>
    <t xml:space="preserve">FAMSVC DCSAD                  </t>
  </si>
  <si>
    <t>FAMILY SVC OF SF DCCS MH CHILD</t>
  </si>
  <si>
    <t xml:space="preserve">FAMSVC DCCHD                  </t>
  </si>
  <si>
    <t xml:space="preserve">SHAPIRO DIANA I MFT           </t>
  </si>
  <si>
    <t xml:space="preserve">SHAPIRO DIAN                  </t>
  </si>
  <si>
    <t xml:space="preserve">WATKINS JAMIE A LCSW          </t>
  </si>
  <si>
    <t xml:space="preserve">WATKINS JAMI                  </t>
  </si>
  <si>
    <t xml:space="preserve">HCSA CHSC REALM HIGH SCHOOL   </t>
  </si>
  <si>
    <t xml:space="preserve">HCSA REALMHI                  </t>
  </si>
  <si>
    <t>PORTIA BELL ABBIE ST ADOLESCNT</t>
  </si>
  <si>
    <t xml:space="preserve">PBELL ADLCNT                  </t>
  </si>
  <si>
    <t>PORTIA BELL PARENTING ADOLECNT</t>
  </si>
  <si>
    <t xml:space="preserve">PBELL PARNTG                  </t>
  </si>
  <si>
    <t xml:space="preserve">MASHNI NADIA MFT              </t>
  </si>
  <si>
    <t xml:space="preserve">MASHNI NADIA                  </t>
  </si>
  <si>
    <t>BACS HOPE INTERVNTN TAY TRIAGE</t>
  </si>
  <si>
    <t xml:space="preserve">BACSTYTRIAGE                  </t>
  </si>
  <si>
    <t xml:space="preserve">SCHREIBER CENTER MHS ADULT    </t>
  </si>
  <si>
    <t xml:space="preserve">SCHREIBER AD                  </t>
  </si>
  <si>
    <t>LINCOLN ESCUELITA ELEM SCH CHD</t>
  </si>
  <si>
    <t xml:space="preserve">LIN ESCLTASC                  </t>
  </si>
  <si>
    <t xml:space="preserve">BACS WCTR HEDCO ADL MEDS ONLY </t>
  </si>
  <si>
    <t xml:space="preserve">BACS HDCOMED                  </t>
  </si>
  <si>
    <t>BACS WCTR IRVNGTN AD MEDS ONLY</t>
  </si>
  <si>
    <t xml:space="preserve">BACS IRVMEDS                  </t>
  </si>
  <si>
    <t xml:space="preserve">BACS WCTR TWNHSE AD MEDS ONLY </t>
  </si>
  <si>
    <t xml:space="preserve">BACS TWNMEDS                  </t>
  </si>
  <si>
    <t xml:space="preserve">BACS WCTR VALLEY AD MEDS ONLY </t>
  </si>
  <si>
    <t xml:space="preserve">BACS VALMEDS                  </t>
  </si>
  <si>
    <t>AIU SAN LEANDRO HIGH SCH MH CH</t>
  </si>
  <si>
    <t xml:space="preserve">AIU SLNDROHI                  </t>
  </si>
  <si>
    <t>ALAMEDA FAM SRV ISLAND HIGH CH</t>
  </si>
  <si>
    <t xml:space="preserve">ALAFAM ILAND                  </t>
  </si>
  <si>
    <t>ALAMEDA FAM COM LRNG SCH MH CH</t>
  </si>
  <si>
    <t xml:space="preserve">ALAFAM CLCSC                  </t>
  </si>
  <si>
    <t xml:space="preserve">PERL MARK MD                  </t>
  </si>
  <si>
    <t xml:space="preserve">PERL MARK                     </t>
  </si>
  <si>
    <t>PATHWAYS WEL L3 UC TRANSTNLPRG</t>
  </si>
  <si>
    <t xml:space="preserve">PW L3UC TRPG                  </t>
  </si>
  <si>
    <t>PATHWAYS WEL L3 OAK TRANSTLPRG</t>
  </si>
  <si>
    <t xml:space="preserve">PW L3OK TRPG                  </t>
  </si>
  <si>
    <t>CTR FOR DISCOV FRMNT ADL RESDY</t>
  </si>
  <si>
    <t xml:space="preserve">CFD FMNT RES                  </t>
  </si>
  <si>
    <t xml:space="preserve">CTR FOR DISCOV FRMNT ADLT PHP </t>
  </si>
  <si>
    <t xml:space="preserve">CFD FMNT PHP                  </t>
  </si>
  <si>
    <t>CTR FOR DISCOV DNVILE CH RESDY</t>
  </si>
  <si>
    <t xml:space="preserve">CFD DVNL RES                  </t>
  </si>
  <si>
    <t>CTR FOR DISCOV DNVILE CHLD PHP</t>
  </si>
  <si>
    <t xml:space="preserve">CFD DNVL PHP                  </t>
  </si>
  <si>
    <t>CTR FOR DISCOV MPARK CH RES DY</t>
  </si>
  <si>
    <t xml:space="preserve">CFD MPRK RES                  </t>
  </si>
  <si>
    <t>CTR FOR DISCOV MPARK CHILD PHP</t>
  </si>
  <si>
    <t xml:space="preserve">CFD MPRK PHP                  </t>
  </si>
  <si>
    <t xml:space="preserve">BAEZ REINA A MFT              </t>
  </si>
  <si>
    <t xml:space="preserve">BAEZ REINA A                  </t>
  </si>
  <si>
    <t>SENECA BOWMAN ELEM SCH MH CHLD</t>
  </si>
  <si>
    <t xml:space="preserve">SEN BOWMANCH                  </t>
  </si>
  <si>
    <t xml:space="preserve">BIAS LISA M MFT               </t>
  </si>
  <si>
    <t xml:space="preserve">BIAS LISA M                   </t>
  </si>
  <si>
    <t xml:space="preserve">SMITH TANEILLE M MFT          </t>
  </si>
  <si>
    <t xml:space="preserve">SMITH TANEIL                  </t>
  </si>
  <si>
    <t>MAA PRIMARY CARE PSYCH CONSULT</t>
  </si>
  <si>
    <t xml:space="preserve">MAA PCPC                      </t>
  </si>
  <si>
    <t>SENECA MLK MIDDLE SCH MHS CHLD</t>
  </si>
  <si>
    <t xml:space="preserve">SEN MLK CHLD                  </t>
  </si>
  <si>
    <t>SENECA CRAGMONT ELEM SCH MH CH</t>
  </si>
  <si>
    <t xml:space="preserve">SEN CRAGMONT                  </t>
  </si>
  <si>
    <t>FFYC MONTERA ESY_EBREWER MH CH</t>
  </si>
  <si>
    <t>FFYC WESTLAKE ESY_EBREWER CHLD</t>
  </si>
  <si>
    <t xml:space="preserve">FFYC WLAKESY                  </t>
  </si>
  <si>
    <t>FFYC URBNPROMISE ESY_EBRWER CH</t>
  </si>
  <si>
    <t xml:space="preserve">FFYC UPRMESY                  </t>
  </si>
  <si>
    <t>SENECA MLK ESY_BERKELEY HI CHD</t>
  </si>
  <si>
    <t xml:space="preserve">SEN MLK ESY                   </t>
  </si>
  <si>
    <t>SENECA LONGFLW ESY_BERKLYHI CH</t>
  </si>
  <si>
    <t xml:space="preserve">SEN LGFW ESY                  </t>
  </si>
  <si>
    <t>CASA SERENA EATING DISORDR ADL</t>
  </si>
  <si>
    <t xml:space="preserve">CASA SER ADL                  </t>
  </si>
  <si>
    <t>CASA SERENA EATING DISORDR CHD</t>
  </si>
  <si>
    <t xml:space="preserve">CASA SER CHD                  </t>
  </si>
  <si>
    <t xml:space="preserve">CRESTWOOD FREMONT SNF/STP     </t>
  </si>
  <si>
    <t xml:space="preserve">CRESTWD FRMT                  </t>
  </si>
  <si>
    <t>CRESTWOOD ODDSTAD MH REHAB CTR</t>
  </si>
  <si>
    <t xml:space="preserve">CRSTWD ODSTA                  </t>
  </si>
  <si>
    <t>CRESTWOOD ANGWIN MH REHAB CNTR</t>
  </si>
  <si>
    <t xml:space="preserve">CRESTWD MHRC                  </t>
  </si>
  <si>
    <t>SENECA BOWMAN ESY-SOUTHGATE CH</t>
  </si>
  <si>
    <t xml:space="preserve">SEN BOWMNESY                  </t>
  </si>
  <si>
    <t>SENECA CRAGMNT ESY THOUSND OAK</t>
  </si>
  <si>
    <t xml:space="preserve">SEN ESY TOAK                  </t>
  </si>
  <si>
    <t>SENECA ELMHURST ESY REACH ACDY</t>
  </si>
  <si>
    <t xml:space="preserve">SEN REACH CH                  </t>
  </si>
  <si>
    <t>CHILDREN'S HOSP HKPSGE CVC CMT</t>
  </si>
  <si>
    <t xml:space="preserve">CHOHKCVC CMT                  </t>
  </si>
  <si>
    <t>CHILDREN'S HOSP HKPSGE CVC MLK</t>
  </si>
  <si>
    <t xml:space="preserve">CHOHKCVC MLK                  </t>
  </si>
  <si>
    <t xml:space="preserve">CHILDREN'S HOSP CATS          </t>
  </si>
  <si>
    <t xml:space="preserve">CHO CATS CHD                  </t>
  </si>
  <si>
    <t xml:space="preserve">CHILDREN'S HOSP SEED          </t>
  </si>
  <si>
    <t xml:space="preserve">CHO SEED CHD                  </t>
  </si>
  <si>
    <t xml:space="preserve">CHILDREN'S HOSP BERT          </t>
  </si>
  <si>
    <t xml:space="preserve">CHO BERT CHD                  </t>
  </si>
  <si>
    <t xml:space="preserve">CHILDREN'S HOSP CPC-DBP       </t>
  </si>
  <si>
    <t xml:space="preserve">CHO CPC-DBP                   </t>
  </si>
  <si>
    <t xml:space="preserve">CHILDREN'S HOSP MCCLYMONDS    </t>
  </si>
  <si>
    <t xml:space="preserve">CHO MCLYMNDS                  </t>
  </si>
  <si>
    <t xml:space="preserve">CHILDREN'S HOSP CASTLEMONT    </t>
  </si>
  <si>
    <t xml:space="preserve">CHO CASTLEMT                  </t>
  </si>
  <si>
    <t xml:space="preserve">CHILDREN'S HOSPITAL CPC-DOP   </t>
  </si>
  <si>
    <t xml:space="preserve">CHO CPC-DOP                   </t>
  </si>
  <si>
    <t>SENECA HARVEY GREEN SCH MH CHD</t>
  </si>
  <si>
    <t xml:space="preserve">SEN HGREN CH                  </t>
  </si>
  <si>
    <t xml:space="preserve">BENNETT LINDA K MFT           </t>
  </si>
  <si>
    <t xml:space="preserve">BENNETT LIND                  </t>
  </si>
  <si>
    <t xml:space="preserve">WATT AMY T PHD                </t>
  </si>
  <si>
    <t xml:space="preserve">WATT AMY T                    </t>
  </si>
  <si>
    <t xml:space="preserve">FELTON INSTITUTE DCCS ADLT    </t>
  </si>
  <si>
    <t xml:space="preserve">FELTONDCCSAD                  </t>
  </si>
  <si>
    <t xml:space="preserve">FELTON INSTITUTE DCCS CHILD   </t>
  </si>
  <si>
    <t xml:space="preserve">FELTONDCCSCH                  </t>
  </si>
  <si>
    <t>SENECA OUR KIDS LONGWD SCH CHD</t>
  </si>
  <si>
    <t xml:space="preserve">SEN LONGWDCH                  </t>
  </si>
  <si>
    <t>SENECA LONGWOOD SCHOOL MHS CHD</t>
  </si>
  <si>
    <t xml:space="preserve">SEN LWOOD SC                  </t>
  </si>
  <si>
    <t>LINCOLN HOOVER ESY-LAFAYETE CH</t>
  </si>
  <si>
    <t xml:space="preserve">LINC LAFAYET                  </t>
  </si>
  <si>
    <t>LINCOLN HOOVER ESY-PRESCOTT CH</t>
  </si>
  <si>
    <t xml:space="preserve">LINC PRESCOT                  </t>
  </si>
  <si>
    <t xml:space="preserve">SENECA BERKELEY HIGH SCH CHLD </t>
  </si>
  <si>
    <t xml:space="preserve">SEN BERKLYHI                  </t>
  </si>
  <si>
    <t xml:space="preserve">STARS TREEVIEW ELEM SCH CHILD </t>
  </si>
  <si>
    <t xml:space="preserve">STARS TRVIEW                  </t>
  </si>
  <si>
    <t xml:space="preserve">CITY OF BERKELEY FSP TAY-TIP  </t>
  </si>
  <si>
    <t xml:space="preserve">COB TAY-TIP                   </t>
  </si>
  <si>
    <t>LINCOLN CHD NHIGHLAND RISE SCH</t>
  </si>
  <si>
    <t xml:space="preserve">LINC NHIRISE                  </t>
  </si>
  <si>
    <t>LINCOLN CHD PLL ALT TO PLACEMT</t>
  </si>
  <si>
    <t xml:space="preserve">LINC PLL ATP                  </t>
  </si>
  <si>
    <t>LINCOLN CHILD PLL RE-ENTRY MHS</t>
  </si>
  <si>
    <t xml:space="preserve">LINC REENTRY                  </t>
  </si>
  <si>
    <t xml:space="preserve">CATIPON GENEVIEVE S MFT       </t>
  </si>
  <si>
    <t xml:space="preserve">CATIPON GEN                   </t>
  </si>
  <si>
    <t xml:space="preserve">TRUONG KIET MD                </t>
  </si>
  <si>
    <t xml:space="preserve">TRUONG KIET                   </t>
  </si>
  <si>
    <t xml:space="preserve">MUNIR SYED M MD               </t>
  </si>
  <si>
    <t xml:space="preserve">MUNIR SYED                    </t>
  </si>
  <si>
    <t>STARS WEST OAKLAND SCH MHS CHD</t>
  </si>
  <si>
    <t xml:space="preserve">STARS WSTOAK                  </t>
  </si>
  <si>
    <t xml:space="preserve">DUVVURI VIKAS MD              </t>
  </si>
  <si>
    <t xml:space="preserve">DUVVURI VIKA                  </t>
  </si>
  <si>
    <t xml:space="preserve">QADIR ABDUL MD                </t>
  </si>
  <si>
    <t xml:space="preserve">QADIR ABDUL                   </t>
  </si>
  <si>
    <t>CITY OF FREMONT HORNER JR HISC</t>
  </si>
  <si>
    <t xml:space="preserve">CTYFR HORNER                  </t>
  </si>
  <si>
    <t>CITY OF FREMONT MISSION SJHISC</t>
  </si>
  <si>
    <t xml:space="preserve">CTYFR MISNSJ                  </t>
  </si>
  <si>
    <t>CITY OF FREMONT MATTOS ELEM SC</t>
  </si>
  <si>
    <t xml:space="preserve">CTYFR MATTOS                  </t>
  </si>
  <si>
    <t>CITY OF FREMONT HIRSH ELEM SCH</t>
  </si>
  <si>
    <t xml:space="preserve">CTYFR HIRSH                   </t>
  </si>
  <si>
    <t>CITY OF FREMONT LEITCH ELEM SC</t>
  </si>
  <si>
    <t xml:space="preserve">CTYFR LEITCH                  </t>
  </si>
  <si>
    <t>AIU OAK TECH UPPER CAMPUS CHLD</t>
  </si>
  <si>
    <t xml:space="preserve">AIU OAKTECH                   </t>
  </si>
  <si>
    <t>TELECARE JAY MAHLER CRISIS RES</t>
  </si>
  <si>
    <t xml:space="preserve">JMAHLER CRIS                  </t>
  </si>
  <si>
    <t>EBAC GRAHAM ELEM SCH MHS CHILD</t>
  </si>
  <si>
    <t xml:space="preserve">EBAC GRAHAM                   </t>
  </si>
  <si>
    <t>EBAC MILANI ELEM SCH MHS CHILD</t>
  </si>
  <si>
    <t xml:space="preserve">EBAC MILANI                   </t>
  </si>
  <si>
    <t xml:space="preserve">CITY OF BERKELEY FSP CHILD    </t>
  </si>
  <si>
    <t xml:space="preserve">BE FSP CHILD                  </t>
  </si>
  <si>
    <t xml:space="preserve">TELECARE JAY MAHLER MEDS ONLY </t>
  </si>
  <si>
    <t xml:space="preserve">JMAHLER MEDS                  </t>
  </si>
  <si>
    <t>SENECA CASTLEMONT HIGH MHS CHD</t>
  </si>
  <si>
    <t xml:space="preserve">SEN CASTLMNT                  </t>
  </si>
  <si>
    <t>SENECA BRIDGES ELEM SCH MH CHD</t>
  </si>
  <si>
    <t xml:space="preserve">SEN BRIDGES                   </t>
  </si>
  <si>
    <t xml:space="preserve">HOUSING SUPPORT PROGRAM (HSP) </t>
  </si>
  <si>
    <t xml:space="preserve">HSP                           </t>
  </si>
  <si>
    <t xml:space="preserve">KAMIN BRUCE D LCSW            </t>
  </si>
  <si>
    <t xml:space="preserve">KAMIN BRUCE                   </t>
  </si>
  <si>
    <t>NORTH VALLEY BEHAVIORAL HEALTH</t>
  </si>
  <si>
    <t xml:space="preserve">NORTH VALLEY                  </t>
  </si>
  <si>
    <t>MOBILE EVALUATION TEAM PROGRAM</t>
  </si>
  <si>
    <t xml:space="preserve">MET PROGRAM                   </t>
  </si>
  <si>
    <t xml:space="preserve">DEGENEFFE STACIE M LCSW       </t>
  </si>
  <si>
    <t xml:space="preserve">DEGENEFFE ST                  </t>
  </si>
  <si>
    <t>EBAC EMERSON ELEM SCH MHS CHLD</t>
  </si>
  <si>
    <t xml:space="preserve">EBAC EMRSNSC                  </t>
  </si>
  <si>
    <t xml:space="preserve">FELTON INSTITUTE REP ADULT    </t>
  </si>
  <si>
    <t xml:space="preserve">FELTON REP                    </t>
  </si>
  <si>
    <t>EBAC RALPH BUNCHE ACADEMY CHLD</t>
  </si>
  <si>
    <t xml:space="preserve">EBAC RBACDMY                  </t>
  </si>
  <si>
    <t>EBAC FRICK MIDDLE SCH MHS CHLD</t>
  </si>
  <si>
    <t xml:space="preserve">EBAC FRICKSC                  </t>
  </si>
  <si>
    <t xml:space="preserve">EBAC GREENLEAF ELEM SCH CHILD </t>
  </si>
  <si>
    <t xml:space="preserve">EBAC GLEAFES                  </t>
  </si>
  <si>
    <t>EBAC RUDSDALE CONTINUATN SC CH</t>
  </si>
  <si>
    <t xml:space="preserve">EBAC RDALESC                  </t>
  </si>
  <si>
    <t>CHAVES LOUREIRO DO CARMO ELISA</t>
  </si>
  <si>
    <t xml:space="preserve">CHAVES LOURE                  </t>
  </si>
  <si>
    <t>EBAC CLAREMONT MID SCH MHS CHD</t>
  </si>
  <si>
    <t xml:space="preserve">EBAC CLRMONT                  </t>
  </si>
  <si>
    <t>EBAC ACORN WOODLAND ES MHS CHD</t>
  </si>
  <si>
    <t xml:space="preserve">EBAC WLANDSC                  </t>
  </si>
  <si>
    <t>EBAC ROOTS INTL ACADEMY MH CHD</t>
  </si>
  <si>
    <t xml:space="preserve">EBAC ROOTS                    </t>
  </si>
  <si>
    <t>EBAC HESPERIAN ELEM SCH MH CHD</t>
  </si>
  <si>
    <t xml:space="preserve">EBAC HPERIAN                  </t>
  </si>
  <si>
    <t xml:space="preserve">ACBH OFFICE OF THE DIRECTOR   </t>
  </si>
  <si>
    <t xml:space="preserve">ACBH OOD                      </t>
  </si>
  <si>
    <t>EBAC HOOVER ELEM SCH MHS CHILD</t>
  </si>
  <si>
    <t xml:space="preserve">EBAC HOVERES                  </t>
  </si>
  <si>
    <t>EBAC FUTURES ELEM SCH MH CHILD</t>
  </si>
  <si>
    <t xml:space="preserve">EBAC FUTURES                  </t>
  </si>
  <si>
    <t>EBAC HILLSIDE ELEM SCH MH CHLD</t>
  </si>
  <si>
    <t xml:space="preserve">EBAC HILSIDE                  </t>
  </si>
  <si>
    <t>EBAC LAFAYETTE ELEM SCH MH CHD</t>
  </si>
  <si>
    <t xml:space="preserve">EBAC LFAYETT                  </t>
  </si>
  <si>
    <t>ACBH MENTAL HEALTH SERVICE ACT</t>
  </si>
  <si>
    <t xml:space="preserve">ACBH MHSA                     </t>
  </si>
  <si>
    <t>CERI UELP ROYA ADULT OLDER ADL</t>
  </si>
  <si>
    <t xml:space="preserve">CERI UELP AD                  </t>
  </si>
  <si>
    <t xml:space="preserve">ABODE SERVICES STAY           </t>
  </si>
  <si>
    <t xml:space="preserve">ABODE MHSTAY                  </t>
  </si>
  <si>
    <t>BACS EVRI 1ST AB109 REENTRY AD</t>
  </si>
  <si>
    <t xml:space="preserve">BACS REENTRY                  </t>
  </si>
  <si>
    <t xml:space="preserve">CHAA ADULT LEVEL III          </t>
  </si>
  <si>
    <t xml:space="preserve">CHAA LEV III                  </t>
  </si>
  <si>
    <t xml:space="preserve">ADAPA INDIRA D MD             </t>
  </si>
  <si>
    <t xml:space="preserve">ADAPA INDIRA                  </t>
  </si>
  <si>
    <t xml:space="preserve">GAYLE MICHELLE E MFT          </t>
  </si>
  <si>
    <t xml:space="preserve">GAYLE MICHEL                  </t>
  </si>
  <si>
    <t xml:space="preserve">HOWELL JOANNE L MFT           </t>
  </si>
  <si>
    <t xml:space="preserve">HOWELL JOANN                  </t>
  </si>
  <si>
    <t xml:space="preserve">LONGAN RACHEL MFT             </t>
  </si>
  <si>
    <t xml:space="preserve">LONGAN RACHE                  </t>
  </si>
  <si>
    <t xml:space="preserve">PILKINTON KELLI MFT           </t>
  </si>
  <si>
    <t xml:space="preserve">PILKINTON KE                  </t>
  </si>
  <si>
    <t xml:space="preserve">SMITH ALISON C MFT            </t>
  </si>
  <si>
    <t xml:space="preserve">SMITH ALISON                  </t>
  </si>
  <si>
    <t>BACS AB109 REENTRY REFERRAL AD</t>
  </si>
  <si>
    <t xml:space="preserve">BACS ADL REF                  </t>
  </si>
  <si>
    <t>BACS EVRI SAGE SSI ADVOC ADULT</t>
  </si>
  <si>
    <t xml:space="preserve">BACSADVOC AD                  </t>
  </si>
  <si>
    <t xml:space="preserve">CAMPBELL KRISTINE R MFT       </t>
  </si>
  <si>
    <t xml:space="preserve">CAMPBELL KRI                  </t>
  </si>
  <si>
    <t xml:space="preserve">CASTRO-MCDANIEL SHAUNA L MFT  </t>
  </si>
  <si>
    <t xml:space="preserve">CASTRO-MCDAN                  </t>
  </si>
  <si>
    <t xml:space="preserve">COURDY RYAN R MD              </t>
  </si>
  <si>
    <t xml:space="preserve">COURDY RYAN                   </t>
  </si>
  <si>
    <t>CITY OF FREMONT HSD OLDRAD R&amp;R</t>
  </si>
  <si>
    <t xml:space="preserve">CTYFRE OAR&amp;R                  </t>
  </si>
  <si>
    <t xml:space="preserve">KUMAR DEEPAK MD               </t>
  </si>
  <si>
    <t xml:space="preserve">KUMAR DEEPAK                  </t>
  </si>
  <si>
    <t xml:space="preserve">OUTLAW JASEON S PHD           </t>
  </si>
  <si>
    <t xml:space="preserve">OUTLAW JASEO                  </t>
  </si>
  <si>
    <t xml:space="preserve">PARDO NICOLE MD               </t>
  </si>
  <si>
    <t xml:space="preserve">PARDO NICOLE                  </t>
  </si>
  <si>
    <t xml:space="preserve">RAHIMI MONILA MD              </t>
  </si>
  <si>
    <t xml:space="preserve">RAHIMI MONIL                  </t>
  </si>
  <si>
    <t xml:space="preserve">ROWLAND SHAWN E LCSW          </t>
  </si>
  <si>
    <t xml:space="preserve">ROWLAND SHAW                  </t>
  </si>
  <si>
    <t xml:space="preserve">CHAMBERLAIN JOHN R MD         </t>
  </si>
  <si>
    <t xml:space="preserve">CHAMBERLAIN                   </t>
  </si>
  <si>
    <t>OAKLAND SCHOOLS OAK TECH CHILD</t>
  </si>
  <si>
    <t xml:space="preserve">OAK OAKTECH                   </t>
  </si>
  <si>
    <t xml:space="preserve">OAKLAND SCHOOLS FRICK MID SCH </t>
  </si>
  <si>
    <t xml:space="preserve">OAK FRICKSCH                  </t>
  </si>
  <si>
    <t>OAKLAND SCHOOLS FREMONT HI CHD</t>
  </si>
  <si>
    <t xml:space="preserve">OAK FREMNTHI                  </t>
  </si>
  <si>
    <t xml:space="preserve">OAKLAND SCHOOLS EDNA BREWR HI </t>
  </si>
  <si>
    <t xml:space="preserve">OAK EDNABRWR                  </t>
  </si>
  <si>
    <t>OAKLAND SCHOOLS MLK JR ELEM SC</t>
  </si>
  <si>
    <t xml:space="preserve">OAK MLKJR SC                  </t>
  </si>
  <si>
    <t>GIRLS INC SAN LEANDRO MHS CHLD</t>
  </si>
  <si>
    <t xml:space="preserve">GIRLS SLNDRO                  </t>
  </si>
  <si>
    <t>FFYC OAKHI ESY SKYLINE HIGH CH</t>
  </si>
  <si>
    <t xml:space="preserve">FFYC SKYLNSC                  </t>
  </si>
  <si>
    <t>SENECA LNGFELLOW ESY BERKLY HI</t>
  </si>
  <si>
    <t xml:space="preserve">SEN ESY BERK                  </t>
  </si>
  <si>
    <t>SENECA MLK MIDSCH ESY BERKLYHI</t>
  </si>
  <si>
    <t xml:space="preserve">SEN MLK_BERK                  </t>
  </si>
  <si>
    <t>FFYC TRANSITIONS COMMUNTY HSNG</t>
  </si>
  <si>
    <t xml:space="preserve">FFYC COMMHSG                  </t>
  </si>
  <si>
    <t>FFYC MONTERA SCH ESY WLAKE SCH</t>
  </si>
  <si>
    <t xml:space="preserve">TELECARE COMM CONSERVATORSHIP </t>
  </si>
  <si>
    <t xml:space="preserve">COM CONSRVTR                  </t>
  </si>
  <si>
    <t>TELECARE ASSISTED OPT TREATMNT</t>
  </si>
  <si>
    <t xml:space="preserve">ASST OPTRMNT                  </t>
  </si>
  <si>
    <t>BACS SUPPORTED INDPT LIVING AD</t>
  </si>
  <si>
    <t xml:space="preserve">BACS ADLTSIL                  </t>
  </si>
  <si>
    <t>EBAC BOWMAN ELEM SCH MHS CHILD</t>
  </si>
  <si>
    <t xml:space="preserve">EBAC BOWMAN                   </t>
  </si>
  <si>
    <t>EBAC BURBANK ELEM SCH MHS CHLD</t>
  </si>
  <si>
    <t xml:space="preserve">EBAC BURBANK                  </t>
  </si>
  <si>
    <t>EBAC GLASSBROOK ELEM SCH MH CH</t>
  </si>
  <si>
    <t>EBAC TYRELL ELEM SCH MHS CHILD</t>
  </si>
  <si>
    <t xml:space="preserve">EBAC TYRELL                   </t>
  </si>
  <si>
    <t>SENECA CATALYST ACADEMY MH CHD</t>
  </si>
  <si>
    <t xml:space="preserve">SEN CATALYST                  </t>
  </si>
  <si>
    <t xml:space="preserve">AHS EARLY CHILDHOOD           </t>
  </si>
  <si>
    <t xml:space="preserve">AHS EARLYCHD                  </t>
  </si>
  <si>
    <t xml:space="preserve">AHS CHILD OUTPATIENT          </t>
  </si>
  <si>
    <t xml:space="preserve">AHS CHLD OPT                  </t>
  </si>
  <si>
    <t xml:space="preserve">AHS API UELP                  </t>
  </si>
  <si>
    <t xml:space="preserve">AHS ADULT LEV 3               </t>
  </si>
  <si>
    <t xml:space="preserve">AHS LEV 3 AD                  </t>
  </si>
  <si>
    <t xml:space="preserve">AHS ADULT SERVICE TEAM 2      </t>
  </si>
  <si>
    <t xml:space="preserve">AHS ADLT T2                   </t>
  </si>
  <si>
    <t xml:space="preserve">AHS ADULT LEVEL III           </t>
  </si>
  <si>
    <t xml:space="preserve">AHS LEV3 ADL                  </t>
  </si>
  <si>
    <t xml:space="preserve">AHS CHILD LEVEL I             </t>
  </si>
  <si>
    <t xml:space="preserve">AHS CHD LEV1                  </t>
  </si>
  <si>
    <t xml:space="preserve">AHS CALWORKS ADULT            </t>
  </si>
  <si>
    <t xml:space="preserve">AHS CALWORKS                  </t>
  </si>
  <si>
    <t xml:space="preserve">ACCESS MHS ADULT AHS          </t>
  </si>
  <si>
    <t xml:space="preserve">ACCESS AHSAD                  </t>
  </si>
  <si>
    <t xml:space="preserve">TELECARE STAGES ADULT         </t>
  </si>
  <si>
    <t xml:space="preserve">STAGES ADULT                  </t>
  </si>
  <si>
    <t xml:space="preserve">ACCESS MHS ADULT ASIAN HEALTH </t>
  </si>
  <si>
    <t xml:space="preserve">ACCESS AHS                    </t>
  </si>
  <si>
    <t xml:space="preserve">STARS IHOT TAY                </t>
  </si>
  <si>
    <t xml:space="preserve">STARS IHOTAY                  </t>
  </si>
  <si>
    <t>SENECA LONGWOOD ESY FAIRVIEWCH</t>
  </si>
  <si>
    <t xml:space="preserve">SEN FAIRVIEW                  </t>
  </si>
  <si>
    <t>BACS SSI ADVOCACY REFERRAL ADL</t>
  </si>
  <si>
    <t xml:space="preserve">BACS SSIREF                   </t>
  </si>
  <si>
    <t>BONITA HOUSE OAKLAND IHOT ADLT</t>
  </si>
  <si>
    <t xml:space="preserve">BONITA IHOT                   </t>
  </si>
  <si>
    <t xml:space="preserve">AHS ADULT SERVICE TEAM 1      </t>
  </si>
  <si>
    <t xml:space="preserve">AHS SVCT1 AD                  </t>
  </si>
  <si>
    <t xml:space="preserve">GRAYSON KELLEN R MFT          </t>
  </si>
  <si>
    <t xml:space="preserve">GRAYSON KELL                  </t>
  </si>
  <si>
    <t xml:space="preserve">PEPPER RACHEL MFT             </t>
  </si>
  <si>
    <t xml:space="preserve">PEPPER RACHE                  </t>
  </si>
  <si>
    <t xml:space="preserve">AHS CHILD LEVEL I REFERRAL    </t>
  </si>
  <si>
    <t xml:space="preserve">AHS LEV1 REF                  </t>
  </si>
  <si>
    <t xml:space="preserve">AHS ADULT SERVICE TEAM 1 PROG </t>
  </si>
  <si>
    <t xml:space="preserve">AHS ADT1 PRG                  </t>
  </si>
  <si>
    <t>EBAC LAFAYETTE ESY MLK ES CHLD</t>
  </si>
  <si>
    <t xml:space="preserve">EBAC ESY MLK                  </t>
  </si>
  <si>
    <t>VISTA DEL MAR INTENSIVE FL DAY</t>
  </si>
  <si>
    <t xml:space="preserve">VISTA INTFLD                  </t>
  </si>
  <si>
    <t xml:space="preserve">AHS ADULT CALWORKS            </t>
  </si>
  <si>
    <t xml:space="preserve">AHS ADCWORKS                  </t>
  </si>
  <si>
    <t xml:space="preserve">ABODE SERVICES IHOT ADULT     </t>
  </si>
  <si>
    <t xml:space="preserve">ABODE IHOTAD                  </t>
  </si>
  <si>
    <t xml:space="preserve">LINCOLN MDFT MHS CHILD        </t>
  </si>
  <si>
    <t xml:space="preserve">LINC MDFT CH                  </t>
  </si>
  <si>
    <t xml:space="preserve">VISTA DEL MAR MHS CHILD       </t>
  </si>
  <si>
    <t xml:space="preserve">VISTA MHS CH                  </t>
  </si>
  <si>
    <t xml:space="preserve">VISTA DEL MAR TBS CHILD       </t>
  </si>
  <si>
    <t xml:space="preserve">VISTA TBS CH                  </t>
  </si>
  <si>
    <t xml:space="preserve">EBAC NEWARK JR HIGH MHS CHILD </t>
  </si>
  <si>
    <t xml:space="preserve">EBAC NEWRKHI                  </t>
  </si>
  <si>
    <t>EBAC NEWARK MEMORIAL HS MHS CH</t>
  </si>
  <si>
    <t>FFYC WEST OAKLAND MID SCH CHLD</t>
  </si>
  <si>
    <t xml:space="preserve">FFYC WOAKSCH                  </t>
  </si>
  <si>
    <t xml:space="preserve">EBAC BANCROFT MID SCH I-CESDC </t>
  </si>
  <si>
    <t xml:space="preserve">EBAC I-CESDC                  </t>
  </si>
  <si>
    <t xml:space="preserve">EBAC JOHN MUIR SCH SBBH CHILD </t>
  </si>
  <si>
    <t xml:space="preserve">EBAC JM SBBH                  </t>
  </si>
  <si>
    <t>SENECA HILLVIEW CREST SCH CHLD</t>
  </si>
  <si>
    <t xml:space="preserve">SEN HILLVIEW                  </t>
  </si>
  <si>
    <t xml:space="preserve">FFYC MANZANITA SEED MHS CHILD </t>
  </si>
  <si>
    <t xml:space="preserve">FFYC MNZNITA                  </t>
  </si>
  <si>
    <t>EBAC SN LNDRO HS KOREMATSU CHD</t>
  </si>
  <si>
    <t xml:space="preserve">EBAC KRMATSU                  </t>
  </si>
  <si>
    <t xml:space="preserve">WANG ALEX K PHD               </t>
  </si>
  <si>
    <t xml:space="preserve">WANG ALEX K                   </t>
  </si>
  <si>
    <t xml:space="preserve">REZAISHIRAZ HAMED MD          </t>
  </si>
  <si>
    <t xml:space="preserve">REZAISHIRAZ                   </t>
  </si>
  <si>
    <t xml:space="preserve">REED JILL E MFT               </t>
  </si>
  <si>
    <t xml:space="preserve">REED JILL E                   </t>
  </si>
  <si>
    <t xml:space="preserve">LONG KRISTIN M MFT            </t>
  </si>
  <si>
    <t xml:space="preserve">LONG KRISTIN                  </t>
  </si>
  <si>
    <t xml:space="preserve">MUNOZ SARAH N PHD             </t>
  </si>
  <si>
    <t xml:space="preserve">MUNOZ SARAH                   </t>
  </si>
  <si>
    <t>SENECA HORACE MANN ELEM SCH CH</t>
  </si>
  <si>
    <t xml:space="preserve">SEN HORACEES                  </t>
  </si>
  <si>
    <t>SENECA LINCOLN MIDDLE SCH CHLD</t>
  </si>
  <si>
    <t xml:space="preserve">SEN LINCOLN                   </t>
  </si>
  <si>
    <t xml:space="preserve">CSS LORIN EDEN ELEM SCH ERMHS </t>
  </si>
  <si>
    <t xml:space="preserve">CSS LORIN ED                  </t>
  </si>
  <si>
    <t xml:space="preserve">CSS FAITH RINGGOLD ES ERMHS   </t>
  </si>
  <si>
    <t xml:space="preserve">CSS FRINGOLD                  </t>
  </si>
  <si>
    <t xml:space="preserve">BONITA HOUSE CASA UBUNTU ADLT </t>
  </si>
  <si>
    <t xml:space="preserve">BONITA CASAU                  </t>
  </si>
  <si>
    <t xml:space="preserve">JENKINS RICK L MD             </t>
  </si>
  <si>
    <t xml:space="preserve">JENKINS RICK                  </t>
  </si>
  <si>
    <t xml:space="preserve">MERCED CO DEPT OF MENTAL HLTH </t>
  </si>
  <si>
    <t xml:space="preserve">MERCED CO MH                  </t>
  </si>
  <si>
    <t>CTR FOR DISCOV PLSNTON CHD PHP</t>
  </si>
  <si>
    <t xml:space="preserve">CFD PLSTNPHP                  </t>
  </si>
  <si>
    <t xml:space="preserve">EVER WELL HS ENCLAVE ADLT RES </t>
  </si>
  <si>
    <t xml:space="preserve">EWHS ADL RES                  </t>
  </si>
  <si>
    <t xml:space="preserve">STANFORD HEALTH CARE          </t>
  </si>
  <si>
    <t xml:space="preserve">STANFORD HLT                  </t>
  </si>
  <si>
    <t>DO NOT USE: STAFF# INPUT NO RU</t>
  </si>
  <si>
    <t xml:space="preserve">99NORU                        </t>
  </si>
  <si>
    <t xml:space="preserve">OAKLAND SCHOOLS PEC MHS CHILD </t>
  </si>
  <si>
    <t xml:space="preserve">OAK MHS PEC                   </t>
  </si>
  <si>
    <t>STARS GRANT ELEMENTARY SCH CHD</t>
  </si>
  <si>
    <t xml:space="preserve">STARS GRNTSC                  </t>
  </si>
  <si>
    <t>ANN MARTIN WESTLAKE MID SCH CH</t>
  </si>
  <si>
    <t xml:space="preserve">AMART WLAKE                   </t>
  </si>
  <si>
    <t>CITY OF FREMONT NILES SCH CHLD</t>
  </si>
  <si>
    <t xml:space="preserve">CTYFR NILES                   </t>
  </si>
  <si>
    <t>CITY OF FREMONT CNTRVILLE HIGH</t>
  </si>
  <si>
    <t xml:space="preserve">CTYFR CTRVIL                  </t>
  </si>
  <si>
    <t xml:space="preserve">RODRIGUEZ ANOUSH P LPCC       </t>
  </si>
  <si>
    <t xml:space="preserve">RODRIGUEZ A                   </t>
  </si>
  <si>
    <t xml:space="preserve">DOYLE VALERIE J MFT           </t>
  </si>
  <si>
    <t xml:space="preserve">DOYLE VALERI                  </t>
  </si>
  <si>
    <t>FFYC EDEN GARDENS ELEM SCH CHD</t>
  </si>
  <si>
    <t xml:space="preserve">FFYC EDENSCH                  </t>
  </si>
  <si>
    <t>FFYC FAIRVIEW ELEM SCH MHS CHD</t>
  </si>
  <si>
    <t xml:space="preserve">FFYC FRVIEW                   </t>
  </si>
  <si>
    <t>SENECA GUY EMANUELE JR SCH CHD</t>
  </si>
  <si>
    <t xml:space="preserve">SEN GUYJR SC                  </t>
  </si>
  <si>
    <t>SENECA BRIDGES ACADMY MROSE CH</t>
  </si>
  <si>
    <t xml:space="preserve">SEN BRIACDMY                  </t>
  </si>
  <si>
    <t xml:space="preserve">BOSS MEEKLAND HOUSING MHS TAY </t>
  </si>
  <si>
    <t xml:space="preserve">BOSS MEEKLND                  </t>
  </si>
  <si>
    <t xml:space="preserve">SHURN NAJUMA Z PHD            </t>
  </si>
  <si>
    <t xml:space="preserve">SHURN NAJUMA                  </t>
  </si>
  <si>
    <t xml:space="preserve">HAHN-SMITH ANNE M PHD         </t>
  </si>
  <si>
    <t xml:space="preserve">HAHN SMITH A                  </t>
  </si>
  <si>
    <t>EBAC LINCOLN ELEM SCH MHS CHLD</t>
  </si>
  <si>
    <t xml:space="preserve">EBAC LINCOLN                  </t>
  </si>
  <si>
    <t xml:space="preserve">EBAC SNOW ELEM SCH MHS CHILD  </t>
  </si>
  <si>
    <t xml:space="preserve">EBAC SNOW CH                  </t>
  </si>
  <si>
    <t>EBAC MUSICK ELEM SCH MHS CHILD</t>
  </si>
  <si>
    <t xml:space="preserve">EBAC MUSICK                   </t>
  </si>
  <si>
    <t>EBAC BIRCH GROVE INTERMDTE SCH</t>
  </si>
  <si>
    <t xml:space="preserve">EBAC BGROVE                   </t>
  </si>
  <si>
    <t>SENECA LAZEAR CHARTER ACDMY CH</t>
  </si>
  <si>
    <t xml:space="preserve">SEN LAZEARCH                  </t>
  </si>
  <si>
    <t xml:space="preserve">SENECA EPIC CHARTER SCH CHILD </t>
  </si>
  <si>
    <t xml:space="preserve">SEN EPIC SCH                  </t>
  </si>
  <si>
    <t>LINCOLN BRIDGE ACADEMY MH CHLD</t>
  </si>
  <si>
    <t xml:space="preserve">LINC BACADMY                  </t>
  </si>
  <si>
    <t>FFYC SHAFER PARK ELEM SCH CHLD</t>
  </si>
  <si>
    <t xml:space="preserve">FFYC SPARKSC                  </t>
  </si>
  <si>
    <t xml:space="preserve">LINCOLN GRASS VALLEY ELEM SCH </t>
  </si>
  <si>
    <t xml:space="preserve">LINC GVALLEY                  </t>
  </si>
  <si>
    <t xml:space="preserve">CPT MAIN MHRC ADULT TAY       </t>
  </si>
  <si>
    <t xml:space="preserve">CPT MAINMHRC                  </t>
  </si>
  <si>
    <t>CPT DISRUPTIVE BEHAVIORAL TYAD</t>
  </si>
  <si>
    <t xml:space="preserve">CPT DISRUPT                   </t>
  </si>
  <si>
    <t>CPT MHRC DIVERSION PRGM TAY AD</t>
  </si>
  <si>
    <t xml:space="preserve">CPT DVERSION                  </t>
  </si>
  <si>
    <t xml:space="preserve">BAY AREA LGL AID EXCL LIST RU </t>
  </si>
  <si>
    <t xml:space="preserve">BALA EXCL RU                  </t>
  </si>
  <si>
    <t>E BAY COMM LAW CT EXCL LIST RU</t>
  </si>
  <si>
    <t xml:space="preserve">EBCL EXCL RU                  </t>
  </si>
  <si>
    <t>STARS SN LORENZO OUTPNT CLINIC</t>
  </si>
  <si>
    <t xml:space="preserve">STARS SNLRZO                  </t>
  </si>
  <si>
    <t xml:space="preserve">ANN MARTIN LIGHTHOUSE K-8     </t>
  </si>
  <si>
    <t xml:space="preserve">AMART K-8                     </t>
  </si>
  <si>
    <t xml:space="preserve">STARS COMM SVCS BAY ELEM SCH  </t>
  </si>
  <si>
    <t xml:space="preserve">STARS BAY CH                  </t>
  </si>
  <si>
    <t xml:space="preserve">GUTTERMAN ROBERT B MD         </t>
  </si>
  <si>
    <t xml:space="preserve">GUTTERMAN R                   </t>
  </si>
  <si>
    <t xml:space="preserve">DAVANI SOHYILA PHD            </t>
  </si>
  <si>
    <t xml:space="preserve">DAVANI SOHYI                  </t>
  </si>
  <si>
    <t xml:space="preserve">ANDERSON CARRIE F MFT         </t>
  </si>
  <si>
    <t xml:space="preserve">ANDERSON C                    </t>
  </si>
  <si>
    <t>STARS LORENZO MANOR SCHOOL CHD</t>
  </si>
  <si>
    <t xml:space="preserve">STARS LORNZO                  </t>
  </si>
  <si>
    <t xml:space="preserve">PSYNERGY PROGRAMS MHS ADULT   </t>
  </si>
  <si>
    <t xml:space="preserve">PSYNERGY ADL                  </t>
  </si>
  <si>
    <t>JEWISH FAMILY CASTLEMNT SCH CH</t>
  </si>
  <si>
    <t xml:space="preserve">JFCS CASTLMT                  </t>
  </si>
  <si>
    <t xml:space="preserve">STARS COLONIAL ACRES ELEM SCH </t>
  </si>
  <si>
    <t xml:space="preserve">STARS COLSCH                  </t>
  </si>
  <si>
    <t>CTR FOR DISCOV PLSTN INT HF DY</t>
  </si>
  <si>
    <t xml:space="preserve">CFD PL IHFDY                  </t>
  </si>
  <si>
    <t>RODDY ROSALYN (OMOLADE) Y LCSW</t>
  </si>
  <si>
    <t xml:space="preserve">RODDY ROSALY                  </t>
  </si>
  <si>
    <t xml:space="preserve">PORTER LEANNE P MFT           </t>
  </si>
  <si>
    <t xml:space="preserve">PORTER LEANN                  </t>
  </si>
  <si>
    <t xml:space="preserve">STARS RUUS ELEM SCH OUR KIDS  </t>
  </si>
  <si>
    <t xml:space="preserve">STARS RUUSCH                  </t>
  </si>
  <si>
    <t>LA FAMILIA OAKLND INT'L HI CHD</t>
  </si>
  <si>
    <t xml:space="preserve">LAFAM OAK HI                  </t>
  </si>
  <si>
    <t>STARS PARK ELEMENTARY SCH CHLD</t>
  </si>
  <si>
    <t xml:space="preserve">STARS PKSCH                   </t>
  </si>
  <si>
    <t>BACS HOPE INTERVENTION PRG ADL</t>
  </si>
  <si>
    <t xml:space="preserve">BACS HIP ADL                  </t>
  </si>
  <si>
    <t xml:space="preserve">TING MARK B MD                </t>
  </si>
  <si>
    <t xml:space="preserve">TING MARK B                   </t>
  </si>
  <si>
    <t xml:space="preserve">EDELMUTH EVELYN R MD          </t>
  </si>
  <si>
    <t xml:space="preserve">EDELMUTH EVE                  </t>
  </si>
  <si>
    <t xml:space="preserve">AURORA BHC-SANTA ROSA LLC     </t>
  </si>
  <si>
    <t xml:space="preserve">AURORA BHC                    </t>
  </si>
  <si>
    <t xml:space="preserve">HIRCHAK DAVID M MD            </t>
  </si>
  <si>
    <t xml:space="preserve">HIRCHAK DAVI                  </t>
  </si>
  <si>
    <t xml:space="preserve">NETTLES DAVID LCSW            </t>
  </si>
  <si>
    <t xml:space="preserve">NETTLES D                     </t>
  </si>
  <si>
    <t>LINCOLN SKYLINE HIGH SCH CHILD</t>
  </si>
  <si>
    <t xml:space="preserve">LINC SKYLNHI                  </t>
  </si>
  <si>
    <t>LA CLINICA ROOSEVELT SCH CHILD</t>
  </si>
  <si>
    <t xml:space="preserve">LACLIN RVELT                  </t>
  </si>
  <si>
    <t xml:space="preserve">SRIDHARAN ANNIKA M PHD        </t>
  </si>
  <si>
    <t xml:space="preserve">SRIDHARAN AN                  </t>
  </si>
  <si>
    <t xml:space="preserve">PICK JAMES K MD               </t>
  </si>
  <si>
    <t xml:space="preserve">PICK JAMES K                  </t>
  </si>
  <si>
    <t xml:space="preserve">AREVALO MYRNA J MFT           </t>
  </si>
  <si>
    <t xml:space="preserve">AREVALO MYRN                  </t>
  </si>
  <si>
    <t xml:space="preserve">ANGELES ANGIE E LCSW          </t>
  </si>
  <si>
    <t xml:space="preserve">ANGELES ANGI                  </t>
  </si>
  <si>
    <t xml:space="preserve">SENECA EDENDALE MID SCH CHILD </t>
  </si>
  <si>
    <t xml:space="preserve">SEN EDALE CH                  </t>
  </si>
  <si>
    <t xml:space="preserve">SENECA ARROYO HIGH SCH CHILD  </t>
  </si>
  <si>
    <t xml:space="preserve">SEN ARROYOHI                  </t>
  </si>
  <si>
    <t>SENECA HILLSIDE ELEM SCH CHILD</t>
  </si>
  <si>
    <t xml:space="preserve">SEN HILLSIDE                  </t>
  </si>
  <si>
    <t xml:space="preserve">DUPUIS HILLARY A MFT          </t>
  </si>
  <si>
    <t xml:space="preserve">DUPUIS HILLA                  </t>
  </si>
  <si>
    <t xml:space="preserve">KORPI DOUG R PHD              </t>
  </si>
  <si>
    <t xml:space="preserve">KORPI DOUG                    </t>
  </si>
  <si>
    <t xml:space="preserve">MANGANAS ANTOUN C MD          </t>
  </si>
  <si>
    <t xml:space="preserve">MANGANAS ANT                  </t>
  </si>
  <si>
    <t xml:space="preserve">CITY OF BERKELEY HOTT ADULT   </t>
  </si>
  <si>
    <t xml:space="preserve">BE HOTT ADLT                  </t>
  </si>
  <si>
    <t>ST FRANCIS SNF MHS OLDER ADULT</t>
  </si>
  <si>
    <t xml:space="preserve">STFRANCIS AD                  </t>
  </si>
  <si>
    <t xml:space="preserve">MORALES RODOLFO A MD          </t>
  </si>
  <si>
    <t xml:space="preserve">MORALES ROD                   </t>
  </si>
  <si>
    <t xml:space="preserve">BOZORGMEHR JAFAR MD           </t>
  </si>
  <si>
    <t xml:space="preserve">BOZORGMEHR J                  </t>
  </si>
  <si>
    <t xml:space="preserve">THOMAS COURTNEY J PHD         </t>
  </si>
  <si>
    <t xml:space="preserve">THOMAS COURT                  </t>
  </si>
  <si>
    <t>ALAMEDA FAM SRV OTIS SCH CESDC</t>
  </si>
  <si>
    <t xml:space="preserve">ALAFAM OTIS                   </t>
  </si>
  <si>
    <t xml:space="preserve">BAKER JAMES K MFT             </t>
  </si>
  <si>
    <t xml:space="preserve">BAKER JAMES                   </t>
  </si>
  <si>
    <t>BHC HERITAGE OAKS HOSPITAL INC</t>
  </si>
  <si>
    <t xml:space="preserve">BHC HERITAGE                  </t>
  </si>
  <si>
    <t xml:space="preserve">IBRAHIM FAHMY MD              </t>
  </si>
  <si>
    <t xml:space="preserve">IBRAHIM FAHM                  </t>
  </si>
  <si>
    <t xml:space="preserve">WHITMAN MICHAEL A MD          </t>
  </si>
  <si>
    <t xml:space="preserve">WHITMAN MICH                  </t>
  </si>
  <si>
    <t>STARS WASHINGTON MANOR SCH CHD</t>
  </si>
  <si>
    <t xml:space="preserve">STARS WAMNOR                  </t>
  </si>
  <si>
    <t>PSYNERGY PROGRAMS GREENFLD ADL</t>
  </si>
  <si>
    <t xml:space="preserve">PSYNERGY GRF                  </t>
  </si>
  <si>
    <t xml:space="preserve">CSS BERKELEY ARTS MAGNET ES   </t>
  </si>
  <si>
    <t xml:space="preserve">CSS BAMAGNET                  </t>
  </si>
  <si>
    <t xml:space="preserve">CITY OF FREMONT YFS CHILD     </t>
  </si>
  <si>
    <t xml:space="preserve">CTY FR CHILD                  </t>
  </si>
  <si>
    <t xml:space="preserve">CSS MLK JR MS-HUSD CHILD      </t>
  </si>
  <si>
    <t xml:space="preserve">CSS MLK JR                    </t>
  </si>
  <si>
    <t xml:space="preserve">RANDHAWA RUPINDER MD          </t>
  </si>
  <si>
    <t xml:space="preserve">RANDHAWA RUP                  </t>
  </si>
  <si>
    <t xml:space="preserve">PORTIA BELL HUME JACKSON SCH  </t>
  </si>
  <si>
    <t xml:space="preserve">PBELL JACKSN                  </t>
  </si>
  <si>
    <t xml:space="preserve">NOGAYE MATTIE S LCSW          </t>
  </si>
  <si>
    <t xml:space="preserve">NOGAYE MATTI                  </t>
  </si>
  <si>
    <t xml:space="preserve">EBAC CHERRYLAND MHS CHILD     </t>
  </si>
  <si>
    <t xml:space="preserve">EBAC CHERYLN                  </t>
  </si>
  <si>
    <t xml:space="preserve">LACOCQUE PATRICIA A LCSW      </t>
  </si>
  <si>
    <t xml:space="preserve">LACOCQUE PAT                  </t>
  </si>
  <si>
    <t xml:space="preserve">FAMILY SVC OF SF OA SVC TEAM  </t>
  </si>
  <si>
    <t xml:space="preserve">FAMSVC OA                     </t>
  </si>
  <si>
    <t>PORTIA BELL 0-7 CHILD PLEASNTN</t>
  </si>
  <si>
    <t xml:space="preserve">PBELL 0-7 CH                  </t>
  </si>
  <si>
    <t>ANN MARTIN ENCOMPASS ACADMY CH</t>
  </si>
  <si>
    <t xml:space="preserve">AM ENCMPACDY                  </t>
  </si>
  <si>
    <t>PORTIA BELL CALWORKS PLEASANTN</t>
  </si>
  <si>
    <t xml:space="preserve">PBELL CLWKPL                  </t>
  </si>
  <si>
    <t xml:space="preserve">HURTADO JOSE G LCSW           </t>
  </si>
  <si>
    <t xml:space="preserve">HURTADO JOSE                  </t>
  </si>
  <si>
    <t>CITY OF FREMONT MHS ADULT LEV3</t>
  </si>
  <si>
    <t xml:space="preserve">EBAC SAN LEANDRO HIGH ICESDC  </t>
  </si>
  <si>
    <t xml:space="preserve">EBAC ICESDC                   </t>
  </si>
  <si>
    <t>EBAC PRESCOTT ELEM SCHOOL CHLD</t>
  </si>
  <si>
    <t xml:space="preserve">EBAC PRESCOT                  </t>
  </si>
  <si>
    <t xml:space="preserve">GREEN DAVID M LCSW            </t>
  </si>
  <si>
    <t xml:space="preserve">GREEN DAVID                   </t>
  </si>
  <si>
    <t xml:space="preserve">HCSA CHSC FREMONT HIGH SCHOOL </t>
  </si>
  <si>
    <t xml:space="preserve">HCSA FRMNTHS                  </t>
  </si>
  <si>
    <t xml:space="preserve">HCSA CHSC MONTERA MIDDLE SCH  </t>
  </si>
  <si>
    <t xml:space="preserve">HCSA MTERASC                  </t>
  </si>
  <si>
    <t xml:space="preserve">HCSA CHSC LIVERMORE JOINT USD </t>
  </si>
  <si>
    <t xml:space="preserve">HCSA LVMRUSD                  </t>
  </si>
  <si>
    <t xml:space="preserve">HAYNE SUZANNE MFT             </t>
  </si>
  <si>
    <t xml:space="preserve">HAYNE SUZANN                  </t>
  </si>
  <si>
    <t xml:space="preserve">WILKINS QUINCY L MFT          </t>
  </si>
  <si>
    <t xml:space="preserve">WILKINS QUIN                  </t>
  </si>
  <si>
    <t xml:space="preserve">WASHINGTON TIANA MFT          </t>
  </si>
  <si>
    <t xml:space="preserve">WASHINGTON T                  </t>
  </si>
  <si>
    <t xml:space="preserve">CSS ISLAND HIGH SCH MHS CHILD </t>
  </si>
  <si>
    <t xml:space="preserve">CSS ISLANDHI                  </t>
  </si>
  <si>
    <t xml:space="preserve">GREDESKY MEGAN M MFT          </t>
  </si>
  <si>
    <t xml:space="preserve">GREDESKY M                    </t>
  </si>
  <si>
    <t xml:space="preserve">AHS CENTRAL COUNTY MHS CHILD  </t>
  </si>
  <si>
    <t xml:space="preserve">AHS CNTRALCO                  </t>
  </si>
  <si>
    <t>BACS PROP 47 REENTRY TRMNT ADL</t>
  </si>
  <si>
    <t xml:space="preserve">BACS PROP 47                  </t>
  </si>
  <si>
    <t>ALAMEDA HLTH SYS JGP INPATIENT</t>
  </si>
  <si>
    <t xml:space="preserve">ALAM JGP IPT                  </t>
  </si>
  <si>
    <t>ALAMEDA HLTH SYS JGP CRISIS ST</t>
  </si>
  <si>
    <t xml:space="preserve">ALAM JGP CSU                  </t>
  </si>
  <si>
    <t xml:space="preserve">STAR VIEW PHF ADOLESCENT CHLD </t>
  </si>
  <si>
    <t xml:space="preserve">STRVW PHF CH                  </t>
  </si>
  <si>
    <t xml:space="preserve">SIMS MARY J PHD               </t>
  </si>
  <si>
    <t xml:space="preserve">SIMS MARY J                   </t>
  </si>
  <si>
    <t xml:space="preserve">LEE MARTINA C MFT             </t>
  </si>
  <si>
    <t xml:space="preserve">LEE MARTINA                   </t>
  </si>
  <si>
    <t xml:space="preserve">SINGH SUNPREET MD             </t>
  </si>
  <si>
    <t xml:space="preserve">SINGH SUNPRE                  </t>
  </si>
  <si>
    <t xml:space="preserve">VASQUEZ AKILAH V MFT          </t>
  </si>
  <si>
    <t xml:space="preserve">VASQUEZ AKIL                  </t>
  </si>
  <si>
    <t>LA FAMILIA PROP 47 REENTRY ADL</t>
  </si>
  <si>
    <t xml:space="preserve">LAFAM RENTRY                  </t>
  </si>
  <si>
    <t xml:space="preserve">CITY OF FREMONT HSD LEV3 ADLT </t>
  </si>
  <si>
    <t xml:space="preserve">CTYFR LEV 3                   </t>
  </si>
  <si>
    <t xml:space="preserve">COUSINEAU JACK S MFT          </t>
  </si>
  <si>
    <t xml:space="preserve">COUSINEAU J                   </t>
  </si>
  <si>
    <t xml:space="preserve">ADAMSON REX S MD              </t>
  </si>
  <si>
    <t xml:space="preserve">ADAMSON REX                   </t>
  </si>
  <si>
    <t xml:space="preserve">YI SHANA K MFT                </t>
  </si>
  <si>
    <t xml:space="preserve">YI SHANA                      </t>
  </si>
  <si>
    <t xml:space="preserve">CSS LOGAN HIGH SCH SBBH CHILD </t>
  </si>
  <si>
    <t xml:space="preserve">CSS LOGAN SC                  </t>
  </si>
  <si>
    <t xml:space="preserve">HENDERSON SARAH D LCSW        </t>
  </si>
  <si>
    <t xml:space="preserve">HENDERSON S                   </t>
  </si>
  <si>
    <t>HEBERT-EGGLESTON LUELLEN M MFT</t>
  </si>
  <si>
    <t xml:space="preserve">HEBERT-EGGLE                  </t>
  </si>
  <si>
    <t xml:space="preserve">TAYLOR JEFFREY J LCSW         </t>
  </si>
  <si>
    <t xml:space="preserve">TAYLOR JEFF                   </t>
  </si>
  <si>
    <t>TRI-CITY HEALTH CTR UELP ARISE</t>
  </si>
  <si>
    <t xml:space="preserve">TRI-CHC UELP                  </t>
  </si>
  <si>
    <t xml:space="preserve">BONITA HOUSE CASAU MEDS ONLY  </t>
  </si>
  <si>
    <t xml:space="preserve">BONITA MEDS                   </t>
  </si>
  <si>
    <t xml:space="preserve">INT'L RESCUE COMMITTEE UELP   </t>
  </si>
  <si>
    <t xml:space="preserve">IRC UELP                      </t>
  </si>
  <si>
    <t xml:space="preserve">MINTZ MARIE E LCSW            </t>
  </si>
  <si>
    <t xml:space="preserve">MINTZ MARIE                   </t>
  </si>
  <si>
    <t>FAMILY SVC OF SF SVC TEAM PROG</t>
  </si>
  <si>
    <t xml:space="preserve">FAMSVC PROG                   </t>
  </si>
  <si>
    <t>LA FAMILIA ECMH CLINIC MHS CHD</t>
  </si>
  <si>
    <t xml:space="preserve">LAFAM ECMHCH                  </t>
  </si>
  <si>
    <t>FILIPINO ADVOCATES FOR JUSTICE</t>
  </si>
  <si>
    <t xml:space="preserve">FAFJ UELP                     </t>
  </si>
  <si>
    <t>A BETTER WAY ROOSEVELT SCH CHD</t>
  </si>
  <si>
    <t xml:space="preserve">BETTERWAY RS                  </t>
  </si>
  <si>
    <t>PARTNERSHIP FOR TRAUMA RECOVRY</t>
  </si>
  <si>
    <t xml:space="preserve">PFTR UELP                     </t>
  </si>
  <si>
    <t>TELECARE SAUSAL CRK MEDS SUPRT</t>
  </si>
  <si>
    <t xml:space="preserve">SAUSAL MEDS                   </t>
  </si>
  <si>
    <t xml:space="preserve">LA FAMILIA ECIH SILVA CHILD   </t>
  </si>
  <si>
    <t xml:space="preserve">LA FAM ECIH                   </t>
  </si>
  <si>
    <t xml:space="preserve">TORRENS DESIRAE MFT           </t>
  </si>
  <si>
    <t xml:space="preserve">TORRENS DESI                  </t>
  </si>
  <si>
    <t>CHILDREN'S HOSP NEURODMENTL BH</t>
  </si>
  <si>
    <t xml:space="preserve">CHO NEUROBHS                  </t>
  </si>
  <si>
    <t xml:space="preserve">CHILDREN'S HOSP CATS MHS CHLD </t>
  </si>
  <si>
    <t xml:space="preserve">CHO MHS CATS                  </t>
  </si>
  <si>
    <t>CHILDREN'S HOSP MHS SEED CHILD</t>
  </si>
  <si>
    <t xml:space="preserve">CHO MHS SEED                  </t>
  </si>
  <si>
    <t xml:space="preserve">CLARK ANITRA M LCSW           </t>
  </si>
  <si>
    <t xml:space="preserve">CLARK ANITRA                  </t>
  </si>
  <si>
    <t xml:space="preserve">HARRISON JENNIFER M PHD       </t>
  </si>
  <si>
    <t xml:space="preserve">HARRISON JEN                  </t>
  </si>
  <si>
    <t xml:space="preserve">GARIBALDO RUBEN LCSW          </t>
  </si>
  <si>
    <t xml:space="preserve">GARIBALDO R                   </t>
  </si>
  <si>
    <t>LA FAMILIA CESAR CHAVEZ SCH CH</t>
  </si>
  <si>
    <t xml:space="preserve">LAFAM CCS CH                  </t>
  </si>
  <si>
    <t xml:space="preserve">FELTON INSTITUTE BEAM         </t>
  </si>
  <si>
    <t xml:space="preserve">FELTON BEAM                   </t>
  </si>
  <si>
    <t>LA FAMILIA HARDER ELEM SCH CHD</t>
  </si>
  <si>
    <t xml:space="preserve">LAFAM HARDER                  </t>
  </si>
  <si>
    <t xml:space="preserve">LA CHEIM CONCORD MHS CHILD    </t>
  </si>
  <si>
    <t xml:space="preserve">LACHM CONCRD                  </t>
  </si>
  <si>
    <t>LA FAMILIA WINTON SCH MHS CHLD</t>
  </si>
  <si>
    <t xml:space="preserve">LAFAM WINTON                  </t>
  </si>
  <si>
    <t>LA FAMILIA TENNYSON HS MHS CHD</t>
  </si>
  <si>
    <t xml:space="preserve">LAFAM TENYSN                  </t>
  </si>
  <si>
    <t>LA FAMILIA LOGAN HIGH MHS CHLD</t>
  </si>
  <si>
    <t xml:space="preserve">LAFAM LOGAN                   </t>
  </si>
  <si>
    <t xml:space="preserve">LA FAMILIA BOHANNON SCH CHILD </t>
  </si>
  <si>
    <t xml:space="preserve">LAFAMBOHANON                  </t>
  </si>
  <si>
    <t xml:space="preserve">LA FAMILIA EDENDALE SCH CHILD </t>
  </si>
  <si>
    <t xml:space="preserve">LAFAMEDENDLE                  </t>
  </si>
  <si>
    <t>LA FAMILIA CARABALLO HS MHS CH</t>
  </si>
  <si>
    <t xml:space="preserve">LAFAMCARABLO                  </t>
  </si>
  <si>
    <t xml:space="preserve">IHOT REFERRAL TRACKING ADULT  </t>
  </si>
  <si>
    <t xml:space="preserve">IHOTREFTRACK                  </t>
  </si>
  <si>
    <t xml:space="preserve">EBAC ALAMEDA HIGH SCH I-CESDC </t>
  </si>
  <si>
    <t xml:space="preserve">EBAC ALAM HS                  </t>
  </si>
  <si>
    <t xml:space="preserve">EBAC ENCINAL HIGH SCH I-CESDC </t>
  </si>
  <si>
    <t xml:space="preserve">EBAC ENCINAL                  </t>
  </si>
  <si>
    <t xml:space="preserve">LA FAMILIA MHS CHILD EPSDT    </t>
  </si>
  <si>
    <t xml:space="preserve">LAFAMEPSDTCH                  </t>
  </si>
  <si>
    <t>OAKLAND SCHOOLS ROOSEVLT CESDC</t>
  </si>
  <si>
    <t xml:space="preserve">OAK CESDC CH                  </t>
  </si>
  <si>
    <t>TELECARE FSP JAMHR FORENSIC AD</t>
  </si>
  <si>
    <t xml:space="preserve">FSP JAMHR AD                  </t>
  </si>
  <si>
    <t>TELECARE FSP JAMHR ADL PROGRAM</t>
  </si>
  <si>
    <t xml:space="preserve">FSPJAMHR PRG                  </t>
  </si>
  <si>
    <t xml:space="preserve">BACS FSP LIFT FORENSIC        </t>
  </si>
  <si>
    <t xml:space="preserve">BACS FSPLIFT                  </t>
  </si>
  <si>
    <t>BACS FSP LIFT FORENSIC PROGRAM</t>
  </si>
  <si>
    <t xml:space="preserve">BACS LIFTPRG                  </t>
  </si>
  <si>
    <t xml:space="preserve">BACS PAIGE FSP TAY            </t>
  </si>
  <si>
    <t xml:space="preserve">BACS PAIGFSP                  </t>
  </si>
  <si>
    <t xml:space="preserve">BACS HEAT FSP ADULT           </t>
  </si>
  <si>
    <t xml:space="preserve">BACS HEATFSP                  </t>
  </si>
  <si>
    <t xml:space="preserve">BACS HEAT FSP ADULT PROGRAM   </t>
  </si>
  <si>
    <t xml:space="preserve">BACS HEATPRG                  </t>
  </si>
  <si>
    <t xml:space="preserve">OAKLAND SCH S.T.C. HIGH CESDC </t>
  </si>
  <si>
    <t xml:space="preserve">OAK STC HIGH                  </t>
  </si>
  <si>
    <t xml:space="preserve">KOREAN COMMUNITY CENTER UELP  </t>
  </si>
  <si>
    <t xml:space="preserve">KOREAN UELP                   </t>
  </si>
  <si>
    <t>TELECARE CHANGES IND CM AD PRG</t>
  </si>
  <si>
    <t xml:space="preserve">CHANGESCMPRG                  </t>
  </si>
  <si>
    <t xml:space="preserve">BACS PAIGE FSP TAY PROGRAM    </t>
  </si>
  <si>
    <t xml:space="preserve">BACS PAIGPRG                  </t>
  </si>
  <si>
    <t>TELECARE CHANGES FSP AD PROGRM</t>
  </si>
  <si>
    <t xml:space="preserve">CHANGESFSPRG                  </t>
  </si>
  <si>
    <t xml:space="preserve">STARS TAY LEV 1 MHS           </t>
  </si>
  <si>
    <t xml:space="preserve">STARS TAY L1                  </t>
  </si>
  <si>
    <t xml:space="preserve">STARS TAY LEV 1 PROGRAM       </t>
  </si>
  <si>
    <t xml:space="preserve">STARS IHOT MHS TAY            </t>
  </si>
  <si>
    <t xml:space="preserve">STARS IHOTMH                  </t>
  </si>
  <si>
    <t xml:space="preserve">SENECA ASCEND SCH MHS CHILD   </t>
  </si>
  <si>
    <t xml:space="preserve">SEN ASCENDCH                  </t>
  </si>
  <si>
    <t>EBAC ISLAND HIGH SCH MHS CHILD</t>
  </si>
  <si>
    <t xml:space="preserve">EBAC ISLAND                   </t>
  </si>
  <si>
    <t>BOSS MAA SHELTER NETWORKS ADLT</t>
  </si>
  <si>
    <t xml:space="preserve">BOSS MAA ADL                  </t>
  </si>
  <si>
    <t xml:space="preserve">LA FAMILIA PEER RESPITE ADULT </t>
  </si>
  <si>
    <t xml:space="preserve">LAFAM PEER                    </t>
  </si>
  <si>
    <t xml:space="preserve">UNITY CARE SAN JOSE TBS CHLD  </t>
  </si>
  <si>
    <t xml:space="preserve">UNITYC SJTBS                  </t>
  </si>
  <si>
    <t xml:space="preserve">UNITY CARE SAN JOSE MHS CHLD  </t>
  </si>
  <si>
    <t xml:space="preserve">UNITYC CH SJ                  </t>
  </si>
  <si>
    <t>EAST OAKLAND COMM PROJ CROSSRD</t>
  </si>
  <si>
    <t xml:space="preserve">EOCP CROSSRD                  </t>
  </si>
  <si>
    <t xml:space="preserve">COSKINAS EVAGELOS MD          </t>
  </si>
  <si>
    <t xml:space="preserve">COSKINAS EVA                  </t>
  </si>
  <si>
    <t xml:space="preserve">CITY OF BERKELEY CHILD ACCESS </t>
  </si>
  <si>
    <t xml:space="preserve">BE CH ACCESS                  </t>
  </si>
  <si>
    <t xml:space="preserve">LOCKE ZEPH MFT                </t>
  </si>
  <si>
    <t xml:space="preserve">LOCKE ZEPH                    </t>
  </si>
  <si>
    <t>CTR FOR DISCOV SACTO ADL RESDY</t>
  </si>
  <si>
    <t xml:space="preserve">CFD SACTORES                  </t>
  </si>
  <si>
    <t xml:space="preserve">SATELLITE AFFORDABLE HOUSING  </t>
  </si>
  <si>
    <t xml:space="preserve">SAHA HSP                      </t>
  </si>
  <si>
    <t xml:space="preserve">CHIN CHERYL J MFT             </t>
  </si>
  <si>
    <t xml:space="preserve">CHIN CHERYL                   </t>
  </si>
  <si>
    <t xml:space="preserve">RICHMOND AREA MULTI-SVCS UELP </t>
  </si>
  <si>
    <t xml:space="preserve">RAMS UELP AD                  </t>
  </si>
  <si>
    <t>CTR FOR DISCOV SACTO PHP ADULT</t>
  </si>
  <si>
    <t xml:space="preserve">CFD SACTOPHP                  </t>
  </si>
  <si>
    <t xml:space="preserve">PRITCHARD ELAINE S MFT        </t>
  </si>
  <si>
    <t xml:space="preserve">PRITCHARD E                   </t>
  </si>
  <si>
    <t xml:space="preserve">LIFELONG MED CARE FACT ADULT  </t>
  </si>
  <si>
    <t xml:space="preserve">LIFELNG FACT                  </t>
  </si>
  <si>
    <t xml:space="preserve">LIFELONG MED CARE TRACT ADULT </t>
  </si>
  <si>
    <t xml:space="preserve">LIFELNGTRACT                  </t>
  </si>
  <si>
    <t>PSYNERGY PROGRAMS 4616 CL B AD</t>
  </si>
  <si>
    <t xml:space="preserve">PSYNERGY CLB                  </t>
  </si>
  <si>
    <t>LIFELONG MED CARE CALWORKS ADL</t>
  </si>
  <si>
    <t xml:space="preserve">LIFELNGCWRKS                  </t>
  </si>
  <si>
    <t xml:space="preserve">CASTILLO MANOLITO V MD        </t>
  </si>
  <si>
    <t xml:space="preserve">CASTILLO MAN                  </t>
  </si>
  <si>
    <t>LIFELONG MED CARE HFDY REH ADL</t>
  </si>
  <si>
    <t xml:space="preserve">LIFELONGHFDY                  </t>
  </si>
  <si>
    <t xml:space="preserve">SOMMERS AMANDA G LCSW         </t>
  </si>
  <si>
    <t xml:space="preserve">SOMMERS AMAN                  </t>
  </si>
  <si>
    <t xml:space="preserve">BONITA HOUSE PSKILLS CALWORKS </t>
  </si>
  <si>
    <t xml:space="preserve">BONITA CAWRK                  </t>
  </si>
  <si>
    <t xml:space="preserve">HILL LAUREN N MFT             </t>
  </si>
  <si>
    <t xml:space="preserve">HILL LAUREN                   </t>
  </si>
  <si>
    <t xml:space="preserve">REFUGE KIMBILIO MHS TAY RES   </t>
  </si>
  <si>
    <t xml:space="preserve">REFUGE TAYRE                  </t>
  </si>
  <si>
    <t>REFUGE KIMBILIO TAY FLDY REHAB</t>
  </si>
  <si>
    <t xml:space="preserve">REFUGE FLDY                   </t>
  </si>
  <si>
    <t xml:space="preserve">AURORA CHARTER OAK            </t>
  </si>
  <si>
    <t xml:space="preserve">AURORA CHART                  </t>
  </si>
  <si>
    <t>BAKERSFIELD BEHAVIORL HLT HOSP</t>
  </si>
  <si>
    <t xml:space="preserve">BAKERSFIELBH                  </t>
  </si>
  <si>
    <t xml:space="preserve">SAN JOSE BEHAVIORAL HEALTH    </t>
  </si>
  <si>
    <t xml:space="preserve">SAN JOSE BH                   </t>
  </si>
  <si>
    <t xml:space="preserve">SHARP MESA VISTA HOSPITAL     </t>
  </si>
  <si>
    <t xml:space="preserve">SHARP MESA V                  </t>
  </si>
  <si>
    <t xml:space="preserve">SUTTER CENTER FOR PSYCHIATRY  </t>
  </si>
  <si>
    <t xml:space="preserve">SUTTER CNTR                   </t>
  </si>
  <si>
    <t xml:space="preserve">ROWSON KALI G LCSW            </t>
  </si>
  <si>
    <t xml:space="preserve">ROWSON KALI                   </t>
  </si>
  <si>
    <t xml:space="preserve">MARIONI ANKHESENAMUN B PHD    </t>
  </si>
  <si>
    <t xml:space="preserve">MARIONI ANKH                  </t>
  </si>
  <si>
    <t>ALT FAM SRV THERPTIC FSTERCARE</t>
  </si>
  <si>
    <t xml:space="preserve">AFS FOSTRCAR                  </t>
  </si>
  <si>
    <t xml:space="preserve">CAPITELLI MARIA K MFT         </t>
  </si>
  <si>
    <t xml:space="preserve">CAPITELLI M                   </t>
  </si>
  <si>
    <t xml:space="preserve">BHIMJI ALTAF A LCSW           </t>
  </si>
  <si>
    <t xml:space="preserve">BHIMJI ALTAF                  </t>
  </si>
  <si>
    <t xml:space="preserve">DIMON CYNTHIA E LCSW          </t>
  </si>
  <si>
    <t xml:space="preserve">DIMON CYNTHI                  </t>
  </si>
  <si>
    <t xml:space="preserve">BOEHLER JORDAN B LCSW         </t>
  </si>
  <si>
    <t xml:space="preserve">BOEHLER JORD                  </t>
  </si>
  <si>
    <t xml:space="preserve">PENN NEIL M MFT               </t>
  </si>
  <si>
    <t xml:space="preserve">PENN NEIL M                   </t>
  </si>
  <si>
    <t xml:space="preserve">KALOYANOVA ELENA K MFT        </t>
  </si>
  <si>
    <t xml:space="preserve">KALOYANOVA E                  </t>
  </si>
  <si>
    <t xml:space="preserve">LINCOLN HOWARD ES MHS CHILD   </t>
  </si>
  <si>
    <t xml:space="preserve">LINC HOWRDES                  </t>
  </si>
  <si>
    <t>NAPA STATE HOSP FRNSIC CLIENTS</t>
  </si>
  <si>
    <t xml:space="preserve">NAPA FRENSIC                  </t>
  </si>
  <si>
    <t>FFYC WESTLAKE MIDDLE SCH CHILD</t>
  </si>
  <si>
    <t xml:space="preserve">FFYC WLAKECH                  </t>
  </si>
  <si>
    <t xml:space="preserve">VELLA MEISHA R LCSW           </t>
  </si>
  <si>
    <t xml:space="preserve">VELLA MEISHA                  </t>
  </si>
  <si>
    <t xml:space="preserve">PIAZZA FRED J PHD             </t>
  </si>
  <si>
    <t xml:space="preserve">PIAZZA FRED                   </t>
  </si>
  <si>
    <t>CITY OF BERK UNIV CCT ADLT SVC</t>
  </si>
  <si>
    <t xml:space="preserve">BERK CCT ADL                  </t>
  </si>
  <si>
    <t xml:space="preserve">CITY OF BERK UNIV CRISIS SVCS </t>
  </si>
  <si>
    <t xml:space="preserve">BERK CRISIS                   </t>
  </si>
  <si>
    <t xml:space="preserve">CITY OF BERK UNIV FIT         </t>
  </si>
  <si>
    <t xml:space="preserve">BERK FIT                      </t>
  </si>
  <si>
    <t xml:space="preserve">CITY OF BERK UNIV ADULT FSP   </t>
  </si>
  <si>
    <t xml:space="preserve">BERK ADL FSP                  </t>
  </si>
  <si>
    <t>CITY OF BERK UNIV MCT SERVICES</t>
  </si>
  <si>
    <t xml:space="preserve">BERK MCT SVC                  </t>
  </si>
  <si>
    <t xml:space="preserve">CITY OF BERK UNIV HOTT ADULT  </t>
  </si>
  <si>
    <t xml:space="preserve">BERK HOTT AD                  </t>
  </si>
  <si>
    <t xml:space="preserve">ROSE JUDY L LCSW              </t>
  </si>
  <si>
    <t xml:space="preserve">ROSE JUDY                     </t>
  </si>
  <si>
    <t xml:space="preserve">BRANSBURG TAMARA LCSW         </t>
  </si>
  <si>
    <t xml:space="preserve">BRANSBURG TA                  </t>
  </si>
  <si>
    <t>BACR THOUSAND OAKS ERMHS MHSCH</t>
  </si>
  <si>
    <t xml:space="preserve">BACR ERMHSCH                  </t>
  </si>
  <si>
    <t xml:space="preserve">FELTON INSTITUTE OAST ALAMEDA </t>
  </si>
  <si>
    <t xml:space="preserve">FELTON OAST                   </t>
  </si>
  <si>
    <t xml:space="preserve">SAHASI GURMINDER K PH D       </t>
  </si>
  <si>
    <t xml:space="preserve">SAHASI GURMI                  </t>
  </si>
  <si>
    <t xml:space="preserve">LA FAMILIA OAK INTL HS CLINIC </t>
  </si>
  <si>
    <t xml:space="preserve">LAFAM OIHSCL                  </t>
  </si>
  <si>
    <t xml:space="preserve">KWOFIE INA B LCSW             </t>
  </si>
  <si>
    <t xml:space="preserve">KWOFIE INA B                  </t>
  </si>
  <si>
    <t xml:space="preserve">LINCOLN SKYLINE HS CESDC      </t>
  </si>
  <si>
    <t xml:space="preserve">LINC CESDC                    </t>
  </si>
  <si>
    <t xml:space="preserve">HIVELY                        </t>
  </si>
  <si>
    <t xml:space="preserve">DEL AMO HOSPITAL              </t>
  </si>
  <si>
    <t xml:space="preserve">DEL AMO HOSP                  </t>
  </si>
  <si>
    <t xml:space="preserve">LLU BEHAVIORAL MEDICAL CENTER </t>
  </si>
  <si>
    <t xml:space="preserve">LLUBEHMEDCTR                  </t>
  </si>
  <si>
    <t>CENTRAL STAR BEHAVIORAL HEALTH</t>
  </si>
  <si>
    <t xml:space="preserve">CENTRALSTRBH                  </t>
  </si>
  <si>
    <t>ALT FAM SRV THERPTIC FC PARENT</t>
  </si>
  <si>
    <t xml:space="preserve">AFS TFCPAREN                  </t>
  </si>
  <si>
    <t xml:space="preserve">SPANGLER DANIELLE A PH D      </t>
  </si>
  <si>
    <t xml:space="preserve">SPANGLER DAN                  </t>
  </si>
  <si>
    <t xml:space="preserve">WONG MATTHEW MD               </t>
  </si>
  <si>
    <t xml:space="preserve">WONG MATTHEW                  </t>
  </si>
  <si>
    <t xml:space="preserve">GREENE WILLIAM J MD           </t>
  </si>
  <si>
    <t xml:space="preserve">GREENE WILLI                  </t>
  </si>
  <si>
    <t>CITY OF BERK BERK HIGHSC EPSDT</t>
  </si>
  <si>
    <t xml:space="preserve">COB-BHS-EPSD                  </t>
  </si>
  <si>
    <t>CITY OF BERK BERK HIGHSC MHCHL</t>
  </si>
  <si>
    <t xml:space="preserve">COB-BHS-MHCH                  </t>
  </si>
  <si>
    <t>CITY OF BERK BERKHIGHSC AB3632</t>
  </si>
  <si>
    <t xml:space="preserve">COB-BHS-AB36                  </t>
  </si>
  <si>
    <t>CITY OF BERK BERKHIGHSC FSP CH</t>
  </si>
  <si>
    <t xml:space="preserve">COB-BHS-FSPC                  </t>
  </si>
  <si>
    <t>CITY OF BERK BERKHIGH ACCESSCH</t>
  </si>
  <si>
    <t xml:space="preserve">COB-BHS-ACCE                  </t>
  </si>
  <si>
    <t xml:space="preserve">SANTAFERRARO KJIRSTEN LPCC    </t>
  </si>
  <si>
    <t xml:space="preserve">SANTAFERRARO                  </t>
  </si>
  <si>
    <t xml:space="preserve">CURTIS DEBBIE MFT             </t>
  </si>
  <si>
    <t xml:space="preserve">CURTIS DEBBI                  </t>
  </si>
  <si>
    <t>BACS OAK PROJECT CONNECT MH AD</t>
  </si>
  <si>
    <t xml:space="preserve">BACSOAKPROJC                  </t>
  </si>
  <si>
    <t>BACS OAK PROJECT CONNECT PROGR</t>
  </si>
  <si>
    <t xml:space="preserve">BACSOPC PROG                  </t>
  </si>
  <si>
    <t>FELTON INSTITUTE MILD-MOD ADLT</t>
  </si>
  <si>
    <t xml:space="preserve">FELTON MM AD                  </t>
  </si>
  <si>
    <t xml:space="preserve">CAMPOS-DAVIDS IARA MFT        </t>
  </si>
  <si>
    <t xml:space="preserve">CAMPOS-DAVID                  </t>
  </si>
  <si>
    <t xml:space="preserve">UNITY CARE MHS TAY SAN JOSE   </t>
  </si>
  <si>
    <t xml:space="preserve">UNITYCMHSTAY                  </t>
  </si>
  <si>
    <t xml:space="preserve">KALUDI IRENE LCSW             </t>
  </si>
  <si>
    <t xml:space="preserve">KALUDI IRENE                  </t>
  </si>
  <si>
    <t xml:space="preserve">FONG LINDA LCSW               </t>
  </si>
  <si>
    <t xml:space="preserve">FONG LINDA                    </t>
  </si>
  <si>
    <t xml:space="preserve">AMIN MAYURKUMAR A MD          </t>
  </si>
  <si>
    <t xml:space="preserve">AMIN MAYURKU                  </t>
  </si>
  <si>
    <t>BACS HOPE INT PROG ADL 40TH ST</t>
  </si>
  <si>
    <t xml:space="preserve">BACS HIP 40T                  </t>
  </si>
  <si>
    <t>BACS HOPE INT TAY TRIAGE40THST</t>
  </si>
  <si>
    <t xml:space="preserve">BACS HIP TAY                  </t>
  </si>
  <si>
    <t xml:space="preserve">MALIK FAWAD MD                </t>
  </si>
  <si>
    <t xml:space="preserve">MALIK FAWAD                   </t>
  </si>
  <si>
    <t xml:space="preserve">BONITA HOUSE CATT PROGRAM     </t>
  </si>
  <si>
    <t xml:space="preserve">BH CATT PROG                  </t>
  </si>
  <si>
    <t xml:space="preserve">AXIS COMMUNITY HEALTH INC     </t>
  </si>
  <si>
    <t xml:space="preserve">AXIS COMHLTH                  </t>
  </si>
  <si>
    <t>FELTON INSTITUTE OAST ALA PROG</t>
  </si>
  <si>
    <t xml:space="preserve">FELTONOASTPR                  </t>
  </si>
  <si>
    <t xml:space="preserve">CHHAYA TEJAS DO               </t>
  </si>
  <si>
    <t xml:space="preserve">CHHAYA TEJAS                  </t>
  </si>
  <si>
    <t xml:space="preserve">NASSERIAN CYRUS MD            </t>
  </si>
  <si>
    <t xml:space="preserve">NASSERIAN CY                  </t>
  </si>
  <si>
    <t xml:space="preserve">TELECARE TAY ROC              </t>
  </si>
  <si>
    <t xml:space="preserve">TC TAY ROC                    </t>
  </si>
  <si>
    <t xml:space="preserve">TELECARE ADULT ROC            </t>
  </si>
  <si>
    <t xml:space="preserve">TC ADULT ROC                  </t>
  </si>
  <si>
    <t xml:space="preserve">AIRBORNE WILLIAMS REVI H MFT  </t>
  </si>
  <si>
    <t xml:space="preserve">AIRBORNEWREV                  </t>
  </si>
  <si>
    <t>ACBH WORKFORCE DEV EDU &amp; TRAIN</t>
  </si>
  <si>
    <t xml:space="preserve">ACBH WDET                     </t>
  </si>
  <si>
    <t>ACBH OFFICE OF THE MEDICAL DIR</t>
  </si>
  <si>
    <t xml:space="preserve">ACBH OOMD                     </t>
  </si>
  <si>
    <t>ACBH ADULT FORENSIC BEHAV HLTH</t>
  </si>
  <si>
    <t xml:space="preserve">ACBH AFBH                     </t>
  </si>
  <si>
    <t xml:space="preserve">ACBH HOUSING SERVICES UNIT    </t>
  </si>
  <si>
    <t xml:space="preserve">ACBH HSU                      </t>
  </si>
  <si>
    <t>ACBH UTILIZATION MANAGEMENT UN</t>
  </si>
  <si>
    <t xml:space="preserve">ACBH UMU                      </t>
  </si>
  <si>
    <t>ACBH QUALITY ASSURANCE MANAGEM</t>
  </si>
  <si>
    <t xml:space="preserve">ACBH QAM                      </t>
  </si>
  <si>
    <t xml:space="preserve">ACBH FISCAL SERVICES UNIT     </t>
  </si>
  <si>
    <t xml:space="preserve">ACBH FSU                      </t>
  </si>
  <si>
    <t xml:space="preserve">ACBH COST REPORTING UNIT      </t>
  </si>
  <si>
    <t xml:space="preserve">ACBH CRU                      </t>
  </si>
  <si>
    <t xml:space="preserve">ACBH INFORMATION SYSTEMS UNIT </t>
  </si>
  <si>
    <t xml:space="preserve">99ISU                         </t>
  </si>
  <si>
    <t>ACBH MANAGEMENT SVC/DATA ANALY</t>
  </si>
  <si>
    <t xml:space="preserve">ACBH MSDA                     </t>
  </si>
  <si>
    <t>ACBH CHILDREN'S SPEC SVCS UNIT</t>
  </si>
  <si>
    <t xml:space="preserve">ACBH CSS                      </t>
  </si>
  <si>
    <t xml:space="preserve">ACBH CONTRACTS UNIT           </t>
  </si>
  <si>
    <t xml:space="preserve">ACBH CU                       </t>
  </si>
  <si>
    <t xml:space="preserve">ACBH CONSUMER RELATIONS UNIT  </t>
  </si>
  <si>
    <t xml:space="preserve">ACBH CONRU                    </t>
  </si>
  <si>
    <t>ACBH BILLING &amp; BENEFITS SUPPOR</t>
  </si>
  <si>
    <t xml:space="preserve">ACBH BBSU                     </t>
  </si>
  <si>
    <t xml:space="preserve">ACBH ACCESS UNIT              </t>
  </si>
  <si>
    <t xml:space="preserve">ACBH AU                       </t>
  </si>
  <si>
    <t xml:space="preserve">MAA ACTIVITY FOR ACCESS UNIT  </t>
  </si>
  <si>
    <t xml:space="preserve">MAA ACCESS                    </t>
  </si>
  <si>
    <t xml:space="preserve">SINGH SATBIR MD               </t>
  </si>
  <si>
    <t xml:space="preserve">SINGH SATBIR                  </t>
  </si>
  <si>
    <t xml:space="preserve">LIANG BRANDON M MD            </t>
  </si>
  <si>
    <t xml:space="preserve">LIANG BRANDO                  </t>
  </si>
  <si>
    <t xml:space="preserve">KATZ JOSEPH D MD              </t>
  </si>
  <si>
    <t xml:space="preserve">KATZ JOSEPH                   </t>
  </si>
  <si>
    <t xml:space="preserve">DSH DIVERSION PILOT PROGRAM   </t>
  </si>
  <si>
    <t xml:space="preserve">DSH DIVPILOT                  </t>
  </si>
  <si>
    <t xml:space="preserve">HANIG JOHN L MFT              </t>
  </si>
  <si>
    <t xml:space="preserve">HANIG JOHN L                  </t>
  </si>
  <si>
    <t xml:space="preserve">REFUGE KIMBILIO TAY RES       </t>
  </si>
  <si>
    <t xml:space="preserve">REFUGETAYRES                  </t>
  </si>
  <si>
    <t xml:space="preserve">MOHAGHEGH SARA MFT            </t>
  </si>
  <si>
    <t xml:space="preserve">MOHAGHEGH SA                  </t>
  </si>
  <si>
    <t xml:space="preserve">LAMBERT KELLY M MFT           </t>
  </si>
  <si>
    <t xml:space="preserve">LAMBERT KELL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</si>
</sst>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F3B-CB59-4836-90CB-10484996E5D3}">
  <dimension ref="A1:C3531"/>
  <sheetViews>
    <sheetView tabSelected="1" workbookViewId="0">
      <pane ySplit="1" topLeftCell="A2" activePane="bottomLeft" state="frozen"/>
      <selection pane="bottomLeft" activeCell="H6" sqref="H6"/>
    </sheetView>
  </sheetViews>
  <sheetFormatPr defaultRowHeight="15" x14ac:dyDescent="0.25"/>
  <cols>
    <col min="1" max="1" width="12.85546875" customWidth="1"/>
    <col min="2" max="2" width="39" customWidth="1"/>
    <col min="3" max="3" width="24.85546875" bestFit="1" customWidth="1"/>
  </cols>
  <sheetData>
    <row r="1" spans="1:3" s="1" customFormat="1" x14ac:dyDescent="0.25">
      <c r="A1" s="1" t="s">
        <v>0</v>
      </c>
      <c r="B1" s="1" t="s">
        <v>1</v>
      </c>
      <c r="C1" s="1" t="s">
        <v>2</v>
      </c>
    </row>
    <row r="2" spans="1:3" x14ac:dyDescent="0.25">
      <c r="A2" t="str">
        <f>"00381 "</f>
        <v xml:space="preserve">00381 </v>
      </c>
      <c r="B2" t="s">
        <v>3</v>
      </c>
      <c r="C2" t="s">
        <v>4</v>
      </c>
    </row>
    <row r="3" spans="1:3" x14ac:dyDescent="0.25">
      <c r="A3" t="str">
        <f>"00401 "</f>
        <v xml:space="preserve">00401 </v>
      </c>
      <c r="B3" t="s">
        <v>5</v>
      </c>
      <c r="C3" t="s">
        <v>6</v>
      </c>
    </row>
    <row r="4" spans="1:3" x14ac:dyDescent="0.25">
      <c r="A4" t="str">
        <f>"00411 "</f>
        <v xml:space="preserve">00411 </v>
      </c>
      <c r="B4" t="s">
        <v>7</v>
      </c>
      <c r="C4" t="s">
        <v>8</v>
      </c>
    </row>
    <row r="5" spans="1:3" x14ac:dyDescent="0.25">
      <c r="A5" t="str">
        <f>"00441 "</f>
        <v xml:space="preserve">00441 </v>
      </c>
      <c r="B5" t="s">
        <v>9</v>
      </c>
      <c r="C5" t="s">
        <v>10</v>
      </c>
    </row>
    <row r="6" spans="1:3" x14ac:dyDescent="0.25">
      <c r="A6" t="str">
        <f>"00451 "</f>
        <v xml:space="preserve">00451 </v>
      </c>
      <c r="B6" t="s">
        <v>11</v>
      </c>
      <c r="C6" t="s">
        <v>12</v>
      </c>
    </row>
    <row r="7" spans="1:3" x14ac:dyDescent="0.25">
      <c r="A7" t="str">
        <f>"00461 "</f>
        <v xml:space="preserve">00461 </v>
      </c>
      <c r="B7" t="s">
        <v>13</v>
      </c>
      <c r="C7" t="s">
        <v>14</v>
      </c>
    </row>
    <row r="8" spans="1:3" x14ac:dyDescent="0.25">
      <c r="A8" t="str">
        <f>"00521 "</f>
        <v xml:space="preserve">00521 </v>
      </c>
      <c r="B8" t="s">
        <v>15</v>
      </c>
      <c r="C8" t="s">
        <v>16</v>
      </c>
    </row>
    <row r="9" spans="1:3" x14ac:dyDescent="0.25">
      <c r="A9" t="str">
        <f>"00621 "</f>
        <v xml:space="preserve">00621 </v>
      </c>
      <c r="B9" t="s">
        <v>17</v>
      </c>
      <c r="C9" t="s">
        <v>18</v>
      </c>
    </row>
    <row r="10" spans="1:3" x14ac:dyDescent="0.25">
      <c r="A10" t="str">
        <f>"00622 "</f>
        <v xml:space="preserve">00622 </v>
      </c>
      <c r="B10" t="s">
        <v>19</v>
      </c>
      <c r="C10" t="s">
        <v>20</v>
      </c>
    </row>
    <row r="11" spans="1:3" x14ac:dyDescent="0.25">
      <c r="A11" t="str">
        <f>"00681 "</f>
        <v xml:space="preserve">00681 </v>
      </c>
      <c r="B11" t="s">
        <v>21</v>
      </c>
      <c r="C11" t="s">
        <v>22</v>
      </c>
    </row>
    <row r="12" spans="1:3" x14ac:dyDescent="0.25">
      <c r="A12" t="str">
        <f>"01001 "</f>
        <v xml:space="preserve">01001 </v>
      </c>
      <c r="B12" t="s">
        <v>23</v>
      </c>
      <c r="C12" t="s">
        <v>24</v>
      </c>
    </row>
    <row r="13" spans="1:3" x14ac:dyDescent="0.25">
      <c r="A13" t="str">
        <f>"01011 "</f>
        <v xml:space="preserve">01011 </v>
      </c>
      <c r="B13" t="s">
        <v>25</v>
      </c>
      <c r="C13" t="s">
        <v>26</v>
      </c>
    </row>
    <row r="14" spans="1:3" x14ac:dyDescent="0.25">
      <c r="A14" t="str">
        <f>"01012 "</f>
        <v xml:space="preserve">01012 </v>
      </c>
      <c r="B14" t="s">
        <v>27</v>
      </c>
      <c r="C14" t="s">
        <v>28</v>
      </c>
    </row>
    <row r="15" spans="1:3" x14ac:dyDescent="0.25">
      <c r="A15" t="str">
        <f>"01013 "</f>
        <v xml:space="preserve">01013 </v>
      </c>
      <c r="B15" t="s">
        <v>29</v>
      </c>
      <c r="C15" t="s">
        <v>30</v>
      </c>
    </row>
    <row r="16" spans="1:3" x14ac:dyDescent="0.25">
      <c r="A16" t="str">
        <f>"01014 "</f>
        <v xml:space="preserve">01014 </v>
      </c>
      <c r="B16" t="s">
        <v>31</v>
      </c>
      <c r="C16" t="s">
        <v>32</v>
      </c>
    </row>
    <row r="17" spans="1:3" x14ac:dyDescent="0.25">
      <c r="A17" t="str">
        <f>"01015 "</f>
        <v xml:space="preserve">01015 </v>
      </c>
      <c r="B17" t="s">
        <v>33</v>
      </c>
      <c r="C17" t="s">
        <v>34</v>
      </c>
    </row>
    <row r="18" spans="1:3" x14ac:dyDescent="0.25">
      <c r="A18" t="str">
        <f>"01016 "</f>
        <v xml:space="preserve">01016 </v>
      </c>
      <c r="B18" t="s">
        <v>35</v>
      </c>
      <c r="C18" t="s">
        <v>36</v>
      </c>
    </row>
    <row r="19" spans="1:3" x14ac:dyDescent="0.25">
      <c r="A19" t="str">
        <f>"01017 "</f>
        <v xml:space="preserve">01017 </v>
      </c>
      <c r="B19" t="s">
        <v>37</v>
      </c>
      <c r="C19" t="s">
        <v>38</v>
      </c>
    </row>
    <row r="20" spans="1:3" x14ac:dyDescent="0.25">
      <c r="A20" t="str">
        <f>"01021 "</f>
        <v xml:space="preserve">01021 </v>
      </c>
      <c r="B20" t="s">
        <v>39</v>
      </c>
      <c r="C20" t="s">
        <v>40</v>
      </c>
    </row>
    <row r="21" spans="1:3" x14ac:dyDescent="0.25">
      <c r="A21" t="str">
        <f>"01022 "</f>
        <v xml:space="preserve">01022 </v>
      </c>
      <c r="B21" t="s">
        <v>41</v>
      </c>
      <c r="C21" t="s">
        <v>42</v>
      </c>
    </row>
    <row r="22" spans="1:3" x14ac:dyDescent="0.25">
      <c r="A22" t="str">
        <f>"01023 "</f>
        <v xml:space="preserve">01023 </v>
      </c>
      <c r="B22" t="s">
        <v>43</v>
      </c>
      <c r="C22" t="s">
        <v>44</v>
      </c>
    </row>
    <row r="23" spans="1:3" x14ac:dyDescent="0.25">
      <c r="A23" t="str">
        <f>"010230"</f>
        <v>010230</v>
      </c>
      <c r="B23" t="s">
        <v>45</v>
      </c>
      <c r="C23" t="s">
        <v>46</v>
      </c>
    </row>
    <row r="24" spans="1:3" x14ac:dyDescent="0.25">
      <c r="A24" t="str">
        <f>"01023P"</f>
        <v>01023P</v>
      </c>
      <c r="B24" t="s">
        <v>47</v>
      </c>
      <c r="C24" t="s">
        <v>48</v>
      </c>
    </row>
    <row r="25" spans="1:3" x14ac:dyDescent="0.25">
      <c r="A25" t="str">
        <f>"01024 "</f>
        <v xml:space="preserve">01024 </v>
      </c>
      <c r="B25" t="s">
        <v>49</v>
      </c>
      <c r="C25" t="s">
        <v>50</v>
      </c>
    </row>
    <row r="26" spans="1:3" x14ac:dyDescent="0.25">
      <c r="A26" t="str">
        <f>"01025 "</f>
        <v xml:space="preserve">01025 </v>
      </c>
      <c r="B26" t="s">
        <v>51</v>
      </c>
      <c r="C26" t="s">
        <v>52</v>
      </c>
    </row>
    <row r="27" spans="1:3" x14ac:dyDescent="0.25">
      <c r="A27" t="str">
        <f>"01026 "</f>
        <v xml:space="preserve">01026 </v>
      </c>
      <c r="B27" t="s">
        <v>53</v>
      </c>
      <c r="C27" t="s">
        <v>54</v>
      </c>
    </row>
    <row r="28" spans="1:3" x14ac:dyDescent="0.25">
      <c r="A28" t="str">
        <f>"01027 "</f>
        <v xml:space="preserve">01027 </v>
      </c>
      <c r="B28" t="s">
        <v>55</v>
      </c>
      <c r="C28" t="s">
        <v>56</v>
      </c>
    </row>
    <row r="29" spans="1:3" x14ac:dyDescent="0.25">
      <c r="A29" t="str">
        <f>"01028 "</f>
        <v xml:space="preserve">01028 </v>
      </c>
      <c r="B29" t="s">
        <v>57</v>
      </c>
      <c r="C29" t="s">
        <v>58</v>
      </c>
    </row>
    <row r="30" spans="1:3" x14ac:dyDescent="0.25">
      <c r="A30" t="str">
        <f>"01029 "</f>
        <v xml:space="preserve">01029 </v>
      </c>
      <c r="B30" t="s">
        <v>59</v>
      </c>
      <c r="C30" t="s">
        <v>60</v>
      </c>
    </row>
    <row r="31" spans="1:3" x14ac:dyDescent="0.25">
      <c r="A31" t="str">
        <f>"0102M1"</f>
        <v>0102M1</v>
      </c>
      <c r="B31" t="s">
        <v>61</v>
      </c>
      <c r="C31" t="s">
        <v>62</v>
      </c>
    </row>
    <row r="32" spans="1:3" x14ac:dyDescent="0.25">
      <c r="A32" t="str">
        <f>"0102P "</f>
        <v xml:space="preserve">0102P </v>
      </c>
      <c r="B32" t="s">
        <v>63</v>
      </c>
      <c r="C32" t="s">
        <v>64</v>
      </c>
    </row>
    <row r="33" spans="1:3" x14ac:dyDescent="0.25">
      <c r="A33" t="str">
        <f>"01031 "</f>
        <v xml:space="preserve">01031 </v>
      </c>
      <c r="B33" t="s">
        <v>65</v>
      </c>
      <c r="C33" t="s">
        <v>66</v>
      </c>
    </row>
    <row r="34" spans="1:3" x14ac:dyDescent="0.25">
      <c r="A34" t="str">
        <f>"01041 "</f>
        <v xml:space="preserve">01041 </v>
      </c>
      <c r="B34" t="s">
        <v>67</v>
      </c>
      <c r="C34" t="s">
        <v>68</v>
      </c>
    </row>
    <row r="35" spans="1:3" x14ac:dyDescent="0.25">
      <c r="A35" t="str">
        <f>"01051 "</f>
        <v xml:space="preserve">01051 </v>
      </c>
      <c r="B35" t="s">
        <v>69</v>
      </c>
      <c r="C35" t="s">
        <v>70</v>
      </c>
    </row>
    <row r="36" spans="1:3" x14ac:dyDescent="0.25">
      <c r="A36" t="str">
        <f>"010510"</f>
        <v>010510</v>
      </c>
      <c r="B36" t="s">
        <v>71</v>
      </c>
      <c r="C36" t="s">
        <v>72</v>
      </c>
    </row>
    <row r="37" spans="1:3" x14ac:dyDescent="0.25">
      <c r="A37" t="str">
        <f>"010511"</f>
        <v>010511</v>
      </c>
      <c r="B37" t="s">
        <v>73</v>
      </c>
      <c r="C37" t="s">
        <v>74</v>
      </c>
    </row>
    <row r="38" spans="1:3" x14ac:dyDescent="0.25">
      <c r="A38" t="str">
        <f>"010512"</f>
        <v>010512</v>
      </c>
      <c r="B38" t="s">
        <v>75</v>
      </c>
      <c r="C38" t="s">
        <v>76</v>
      </c>
    </row>
    <row r="39" spans="1:3" x14ac:dyDescent="0.25">
      <c r="A39" t="str">
        <f>"010513"</f>
        <v>010513</v>
      </c>
      <c r="B39" t="s">
        <v>77</v>
      </c>
      <c r="C39" t="s">
        <v>78</v>
      </c>
    </row>
    <row r="40" spans="1:3" x14ac:dyDescent="0.25">
      <c r="A40" t="str">
        <f>"010514"</f>
        <v>010514</v>
      </c>
      <c r="B40" t="s">
        <v>79</v>
      </c>
      <c r="C40" t="s">
        <v>80</v>
      </c>
    </row>
    <row r="41" spans="1:3" x14ac:dyDescent="0.25">
      <c r="A41" t="str">
        <f>"01052 "</f>
        <v xml:space="preserve">01052 </v>
      </c>
      <c r="B41" t="s">
        <v>81</v>
      </c>
      <c r="C41" t="s">
        <v>82</v>
      </c>
    </row>
    <row r="42" spans="1:3" x14ac:dyDescent="0.25">
      <c r="A42" t="str">
        <f>"01053 "</f>
        <v xml:space="preserve">01053 </v>
      </c>
      <c r="B42" t="s">
        <v>83</v>
      </c>
      <c r="C42" t="s">
        <v>84</v>
      </c>
    </row>
    <row r="43" spans="1:3" x14ac:dyDescent="0.25">
      <c r="A43" t="str">
        <f>"01054 "</f>
        <v xml:space="preserve">01054 </v>
      </c>
      <c r="B43" t="s">
        <v>85</v>
      </c>
      <c r="C43" t="s">
        <v>86</v>
      </c>
    </row>
    <row r="44" spans="1:3" x14ac:dyDescent="0.25">
      <c r="A44" t="str">
        <f>"01055 "</f>
        <v xml:space="preserve">01055 </v>
      </c>
      <c r="B44" t="s">
        <v>87</v>
      </c>
      <c r="C44" t="s">
        <v>88</v>
      </c>
    </row>
    <row r="45" spans="1:3" x14ac:dyDescent="0.25">
      <c r="A45" t="str">
        <f>"01056 "</f>
        <v xml:space="preserve">01056 </v>
      </c>
      <c r="B45" t="s">
        <v>89</v>
      </c>
      <c r="C45" t="s">
        <v>90</v>
      </c>
    </row>
    <row r="46" spans="1:3" x14ac:dyDescent="0.25">
      <c r="A46" t="str">
        <f>"01057 "</f>
        <v xml:space="preserve">01057 </v>
      </c>
      <c r="B46" t="s">
        <v>91</v>
      </c>
      <c r="C46" t="s">
        <v>92</v>
      </c>
    </row>
    <row r="47" spans="1:3" x14ac:dyDescent="0.25">
      <c r="A47" t="str">
        <f>"01058 "</f>
        <v xml:space="preserve">01058 </v>
      </c>
      <c r="B47" t="s">
        <v>93</v>
      </c>
      <c r="C47" t="s">
        <v>94</v>
      </c>
    </row>
    <row r="48" spans="1:3" x14ac:dyDescent="0.25">
      <c r="A48" t="str">
        <f>"01059 "</f>
        <v xml:space="preserve">01059 </v>
      </c>
      <c r="B48" t="s">
        <v>95</v>
      </c>
      <c r="C48" t="s">
        <v>96</v>
      </c>
    </row>
    <row r="49" spans="1:3" x14ac:dyDescent="0.25">
      <c r="A49" t="str">
        <f>"0105A7"</f>
        <v>0105A7</v>
      </c>
      <c r="B49" t="s">
        <v>97</v>
      </c>
      <c r="C49" t="s">
        <v>98</v>
      </c>
    </row>
    <row r="50" spans="1:3" x14ac:dyDescent="0.25">
      <c r="A50" t="str">
        <f>"0105M1"</f>
        <v>0105M1</v>
      </c>
      <c r="B50" t="s">
        <v>99</v>
      </c>
      <c r="C50" t="s">
        <v>100</v>
      </c>
    </row>
    <row r="51" spans="1:3" x14ac:dyDescent="0.25">
      <c r="A51" t="str">
        <f>"0105P "</f>
        <v xml:space="preserve">0105P </v>
      </c>
      <c r="B51" t="s">
        <v>101</v>
      </c>
      <c r="C51" t="s">
        <v>102</v>
      </c>
    </row>
    <row r="52" spans="1:3" x14ac:dyDescent="0.25">
      <c r="A52" t="str">
        <f>"01061 "</f>
        <v xml:space="preserve">01061 </v>
      </c>
      <c r="B52" t="s">
        <v>103</v>
      </c>
      <c r="C52" t="s">
        <v>104</v>
      </c>
    </row>
    <row r="53" spans="1:3" x14ac:dyDescent="0.25">
      <c r="A53" t="str">
        <f>"01071 "</f>
        <v xml:space="preserve">01071 </v>
      </c>
      <c r="B53" t="s">
        <v>105</v>
      </c>
      <c r="C53" t="s">
        <v>106</v>
      </c>
    </row>
    <row r="54" spans="1:3" x14ac:dyDescent="0.25">
      <c r="A54" t="str">
        <f>"01081 "</f>
        <v xml:space="preserve">01081 </v>
      </c>
      <c r="B54" t="s">
        <v>107</v>
      </c>
      <c r="C54" t="s">
        <v>108</v>
      </c>
    </row>
    <row r="55" spans="1:3" x14ac:dyDescent="0.25">
      <c r="A55" t="str">
        <f>"010810"</f>
        <v>010810</v>
      </c>
      <c r="B55" t="s">
        <v>109</v>
      </c>
      <c r="C55" t="s">
        <v>110</v>
      </c>
    </row>
    <row r="56" spans="1:3" x14ac:dyDescent="0.25">
      <c r="A56" t="str">
        <f>"01082 "</f>
        <v xml:space="preserve">01082 </v>
      </c>
      <c r="B56" t="s">
        <v>111</v>
      </c>
      <c r="C56" t="s">
        <v>112</v>
      </c>
    </row>
    <row r="57" spans="1:3" x14ac:dyDescent="0.25">
      <c r="A57" t="str">
        <f>"01082R"</f>
        <v>01082R</v>
      </c>
      <c r="B57" t="s">
        <v>113</v>
      </c>
      <c r="C57" t="s">
        <v>114</v>
      </c>
    </row>
    <row r="58" spans="1:3" x14ac:dyDescent="0.25">
      <c r="A58" t="str">
        <f>"01083 "</f>
        <v xml:space="preserve">01083 </v>
      </c>
      <c r="B58" t="s">
        <v>115</v>
      </c>
      <c r="C58" t="s">
        <v>116</v>
      </c>
    </row>
    <row r="59" spans="1:3" x14ac:dyDescent="0.25">
      <c r="A59" t="str">
        <f>"01084 "</f>
        <v xml:space="preserve">01084 </v>
      </c>
      <c r="B59" t="s">
        <v>117</v>
      </c>
      <c r="C59" t="s">
        <v>118</v>
      </c>
    </row>
    <row r="60" spans="1:3" x14ac:dyDescent="0.25">
      <c r="A60" t="str">
        <f>"01085 "</f>
        <v xml:space="preserve">01085 </v>
      </c>
      <c r="B60" t="s">
        <v>119</v>
      </c>
      <c r="C60" t="s">
        <v>120</v>
      </c>
    </row>
    <row r="61" spans="1:3" x14ac:dyDescent="0.25">
      <c r="A61" t="str">
        <f>"01086 "</f>
        <v xml:space="preserve">01086 </v>
      </c>
      <c r="B61" t="s">
        <v>121</v>
      </c>
      <c r="C61" t="s">
        <v>122</v>
      </c>
    </row>
    <row r="62" spans="1:3" x14ac:dyDescent="0.25">
      <c r="A62" t="str">
        <f>"01087 "</f>
        <v xml:space="preserve">01087 </v>
      </c>
      <c r="B62" t="s">
        <v>123</v>
      </c>
      <c r="C62" t="s">
        <v>124</v>
      </c>
    </row>
    <row r="63" spans="1:3" x14ac:dyDescent="0.25">
      <c r="A63" t="str">
        <f>"01088 "</f>
        <v xml:space="preserve">01088 </v>
      </c>
      <c r="B63" t="s">
        <v>125</v>
      </c>
      <c r="C63" t="s">
        <v>126</v>
      </c>
    </row>
    <row r="64" spans="1:3" x14ac:dyDescent="0.25">
      <c r="A64" t="str">
        <f>"01089 "</f>
        <v xml:space="preserve">01089 </v>
      </c>
      <c r="B64" t="s">
        <v>127</v>
      </c>
      <c r="C64" t="s">
        <v>128</v>
      </c>
    </row>
    <row r="65" spans="1:3" x14ac:dyDescent="0.25">
      <c r="A65" t="str">
        <f>"0108M1"</f>
        <v>0108M1</v>
      </c>
      <c r="B65" t="s">
        <v>129</v>
      </c>
      <c r="C65" t="s">
        <v>130</v>
      </c>
    </row>
    <row r="66" spans="1:3" x14ac:dyDescent="0.25">
      <c r="A66" t="str">
        <f>"0108M2"</f>
        <v>0108M2</v>
      </c>
      <c r="B66" t="s">
        <v>131</v>
      </c>
      <c r="C66" t="s">
        <v>132</v>
      </c>
    </row>
    <row r="67" spans="1:3" x14ac:dyDescent="0.25">
      <c r="A67" t="str">
        <f>"0108M3"</f>
        <v>0108M3</v>
      </c>
      <c r="B67" t="s">
        <v>133</v>
      </c>
      <c r="C67" t="s">
        <v>134</v>
      </c>
    </row>
    <row r="68" spans="1:3" x14ac:dyDescent="0.25">
      <c r="A68" t="str">
        <f>"0108P "</f>
        <v xml:space="preserve">0108P </v>
      </c>
      <c r="B68" t="s">
        <v>135</v>
      </c>
      <c r="C68" t="s">
        <v>136</v>
      </c>
    </row>
    <row r="69" spans="1:3" x14ac:dyDescent="0.25">
      <c r="A69" t="str">
        <f>"0108T1"</f>
        <v>0108T1</v>
      </c>
      <c r="B69" t="s">
        <v>137</v>
      </c>
      <c r="C69" t="s">
        <v>138</v>
      </c>
    </row>
    <row r="70" spans="1:3" x14ac:dyDescent="0.25">
      <c r="A70" t="str">
        <f>"0108T2"</f>
        <v>0108T2</v>
      </c>
      <c r="B70" t="s">
        <v>139</v>
      </c>
      <c r="C70" t="s">
        <v>140</v>
      </c>
    </row>
    <row r="71" spans="1:3" x14ac:dyDescent="0.25">
      <c r="A71" t="str">
        <f>"0108T3"</f>
        <v>0108T3</v>
      </c>
      <c r="B71" t="s">
        <v>141</v>
      </c>
      <c r="C71" t="s">
        <v>142</v>
      </c>
    </row>
    <row r="72" spans="1:3" x14ac:dyDescent="0.25">
      <c r="A72" t="str">
        <f>"01091 "</f>
        <v xml:space="preserve">01091 </v>
      </c>
      <c r="B72" t="s">
        <v>143</v>
      </c>
      <c r="C72" t="s">
        <v>144</v>
      </c>
    </row>
    <row r="73" spans="1:3" x14ac:dyDescent="0.25">
      <c r="A73" t="str">
        <f>"01101 "</f>
        <v xml:space="preserve">01101 </v>
      </c>
      <c r="B73" t="s">
        <v>145</v>
      </c>
      <c r="C73" t="s">
        <v>146</v>
      </c>
    </row>
    <row r="74" spans="1:3" x14ac:dyDescent="0.25">
      <c r="A74" t="str">
        <f>"01111 "</f>
        <v xml:space="preserve">01111 </v>
      </c>
      <c r="B74" t="s">
        <v>147</v>
      </c>
      <c r="C74" t="s">
        <v>148</v>
      </c>
    </row>
    <row r="75" spans="1:3" x14ac:dyDescent="0.25">
      <c r="A75" t="str">
        <f>"01112 "</f>
        <v xml:space="preserve">01112 </v>
      </c>
      <c r="B75" t="s">
        <v>149</v>
      </c>
      <c r="C75" t="s">
        <v>150</v>
      </c>
    </row>
    <row r="76" spans="1:3" x14ac:dyDescent="0.25">
      <c r="A76" t="str">
        <f>"01113 "</f>
        <v xml:space="preserve">01113 </v>
      </c>
      <c r="B76" t="s">
        <v>151</v>
      </c>
      <c r="C76" t="s">
        <v>152</v>
      </c>
    </row>
    <row r="77" spans="1:3" x14ac:dyDescent="0.25">
      <c r="A77" t="str">
        <f>"01114 "</f>
        <v xml:space="preserve">01114 </v>
      </c>
      <c r="B77" t="s">
        <v>153</v>
      </c>
      <c r="C77" t="s">
        <v>154</v>
      </c>
    </row>
    <row r="78" spans="1:3" x14ac:dyDescent="0.25">
      <c r="A78" t="str">
        <f>"0111M1"</f>
        <v>0111M1</v>
      </c>
      <c r="B78" t="s">
        <v>155</v>
      </c>
      <c r="C78" t="s">
        <v>156</v>
      </c>
    </row>
    <row r="79" spans="1:3" x14ac:dyDescent="0.25">
      <c r="A79" t="str">
        <f>"0111P "</f>
        <v xml:space="preserve">0111P </v>
      </c>
      <c r="B79" t="s">
        <v>157</v>
      </c>
      <c r="C79" t="s">
        <v>158</v>
      </c>
    </row>
    <row r="80" spans="1:3" x14ac:dyDescent="0.25">
      <c r="A80" t="str">
        <f>"01121 "</f>
        <v xml:space="preserve">01121 </v>
      </c>
      <c r="B80" t="s">
        <v>159</v>
      </c>
      <c r="C80" t="s">
        <v>160</v>
      </c>
    </row>
    <row r="81" spans="1:3" x14ac:dyDescent="0.25">
      <c r="A81" t="str">
        <f>"01122 "</f>
        <v xml:space="preserve">01122 </v>
      </c>
      <c r="B81" t="s">
        <v>161</v>
      </c>
      <c r="C81" t="s">
        <v>162</v>
      </c>
    </row>
    <row r="82" spans="1:3" x14ac:dyDescent="0.25">
      <c r="A82" t="str">
        <f>"01122R"</f>
        <v>01122R</v>
      </c>
      <c r="B82" t="s">
        <v>163</v>
      </c>
      <c r="C82" t="s">
        <v>164</v>
      </c>
    </row>
    <row r="83" spans="1:3" x14ac:dyDescent="0.25">
      <c r="A83" t="str">
        <f>"01123 "</f>
        <v xml:space="preserve">01123 </v>
      </c>
      <c r="B83" t="s">
        <v>165</v>
      </c>
      <c r="C83" t="s">
        <v>166</v>
      </c>
    </row>
    <row r="84" spans="1:3" x14ac:dyDescent="0.25">
      <c r="A84" t="str">
        <f>"01124 "</f>
        <v xml:space="preserve">01124 </v>
      </c>
      <c r="B84" t="s">
        <v>167</v>
      </c>
      <c r="C84" t="s">
        <v>168</v>
      </c>
    </row>
    <row r="85" spans="1:3" x14ac:dyDescent="0.25">
      <c r="A85" t="str">
        <f>"01125 "</f>
        <v xml:space="preserve">01125 </v>
      </c>
      <c r="B85" t="s">
        <v>169</v>
      </c>
      <c r="C85" t="s">
        <v>170</v>
      </c>
    </row>
    <row r="86" spans="1:3" x14ac:dyDescent="0.25">
      <c r="A86" t="str">
        <f>"01126 "</f>
        <v xml:space="preserve">01126 </v>
      </c>
      <c r="B86" t="s">
        <v>171</v>
      </c>
      <c r="C86" t="s">
        <v>172</v>
      </c>
    </row>
    <row r="87" spans="1:3" x14ac:dyDescent="0.25">
      <c r="A87" t="str">
        <f>"01127 "</f>
        <v xml:space="preserve">01127 </v>
      </c>
      <c r="B87" t="s">
        <v>173</v>
      </c>
      <c r="C87" t="s">
        <v>174</v>
      </c>
    </row>
    <row r="88" spans="1:3" x14ac:dyDescent="0.25">
      <c r="A88" t="str">
        <f>"01128 "</f>
        <v xml:space="preserve">01128 </v>
      </c>
      <c r="B88" t="s">
        <v>175</v>
      </c>
      <c r="C88" t="s">
        <v>176</v>
      </c>
    </row>
    <row r="89" spans="1:3" x14ac:dyDescent="0.25">
      <c r="A89" t="str">
        <f>"01129 "</f>
        <v xml:space="preserve">01129 </v>
      </c>
      <c r="B89" t="s">
        <v>177</v>
      </c>
      <c r="C89" t="s">
        <v>178</v>
      </c>
    </row>
    <row r="90" spans="1:3" x14ac:dyDescent="0.25">
      <c r="A90" t="str">
        <f>"0112M1"</f>
        <v>0112M1</v>
      </c>
      <c r="B90" t="s">
        <v>179</v>
      </c>
      <c r="C90" t="s">
        <v>180</v>
      </c>
    </row>
    <row r="91" spans="1:3" x14ac:dyDescent="0.25">
      <c r="A91" t="str">
        <f>"0112M2"</f>
        <v>0112M2</v>
      </c>
      <c r="B91" t="s">
        <v>181</v>
      </c>
      <c r="C91" t="s">
        <v>182</v>
      </c>
    </row>
    <row r="92" spans="1:3" x14ac:dyDescent="0.25">
      <c r="A92" t="str">
        <f>"0112P "</f>
        <v xml:space="preserve">0112P </v>
      </c>
      <c r="B92" t="s">
        <v>183</v>
      </c>
      <c r="C92" t="s">
        <v>184</v>
      </c>
    </row>
    <row r="93" spans="1:3" x14ac:dyDescent="0.25">
      <c r="A93" t="str">
        <f>"0112T1"</f>
        <v>0112T1</v>
      </c>
      <c r="B93" t="s">
        <v>185</v>
      </c>
      <c r="C93" t="s">
        <v>186</v>
      </c>
    </row>
    <row r="94" spans="1:3" x14ac:dyDescent="0.25">
      <c r="A94" t="str">
        <f>"0112T2"</f>
        <v>0112T2</v>
      </c>
      <c r="B94" t="s">
        <v>187</v>
      </c>
      <c r="C94" t="s">
        <v>188</v>
      </c>
    </row>
    <row r="95" spans="1:3" x14ac:dyDescent="0.25">
      <c r="A95" t="str">
        <f>"01131 "</f>
        <v xml:space="preserve">01131 </v>
      </c>
      <c r="B95" t="s">
        <v>189</v>
      </c>
      <c r="C95" t="s">
        <v>190</v>
      </c>
    </row>
    <row r="96" spans="1:3" x14ac:dyDescent="0.25">
      <c r="A96" t="str">
        <f>"01139 "</f>
        <v xml:space="preserve">01139 </v>
      </c>
      <c r="B96" t="s">
        <v>191</v>
      </c>
      <c r="C96" t="s">
        <v>192</v>
      </c>
    </row>
    <row r="97" spans="1:3" x14ac:dyDescent="0.25">
      <c r="A97" t="str">
        <f>"01141 "</f>
        <v xml:space="preserve">01141 </v>
      </c>
      <c r="B97" t="s">
        <v>193</v>
      </c>
      <c r="C97" t="s">
        <v>194</v>
      </c>
    </row>
    <row r="98" spans="1:3" x14ac:dyDescent="0.25">
      <c r="A98" t="str">
        <f>"01142 "</f>
        <v xml:space="preserve">01142 </v>
      </c>
      <c r="B98" t="s">
        <v>195</v>
      </c>
      <c r="C98" t="s">
        <v>196</v>
      </c>
    </row>
    <row r="99" spans="1:3" x14ac:dyDescent="0.25">
      <c r="A99" t="str">
        <f>"01143 "</f>
        <v xml:space="preserve">01143 </v>
      </c>
      <c r="B99" t="s">
        <v>197</v>
      </c>
      <c r="C99" t="s">
        <v>198</v>
      </c>
    </row>
    <row r="100" spans="1:3" x14ac:dyDescent="0.25">
      <c r="A100" t="str">
        <f>"01144 "</f>
        <v xml:space="preserve">01144 </v>
      </c>
      <c r="B100" t="s">
        <v>199</v>
      </c>
      <c r="C100" t="s">
        <v>200</v>
      </c>
    </row>
    <row r="101" spans="1:3" x14ac:dyDescent="0.25">
      <c r="A101" t="str">
        <f>"01145 "</f>
        <v xml:space="preserve">01145 </v>
      </c>
      <c r="B101" t="s">
        <v>201</v>
      </c>
      <c r="C101" t="s">
        <v>202</v>
      </c>
    </row>
    <row r="102" spans="1:3" x14ac:dyDescent="0.25">
      <c r="A102" t="str">
        <f>"01146 "</f>
        <v xml:space="preserve">01146 </v>
      </c>
      <c r="B102" t="s">
        <v>203</v>
      </c>
      <c r="C102" t="s">
        <v>204</v>
      </c>
    </row>
    <row r="103" spans="1:3" x14ac:dyDescent="0.25">
      <c r="A103" t="str">
        <f>"01147 "</f>
        <v xml:space="preserve">01147 </v>
      </c>
      <c r="B103" t="s">
        <v>205</v>
      </c>
      <c r="C103" t="s">
        <v>206</v>
      </c>
    </row>
    <row r="104" spans="1:3" x14ac:dyDescent="0.25">
      <c r="A104" t="str">
        <f>"01149 "</f>
        <v xml:space="preserve">01149 </v>
      </c>
      <c r="B104" t="s">
        <v>207</v>
      </c>
      <c r="C104" t="s">
        <v>208</v>
      </c>
    </row>
    <row r="105" spans="1:3" x14ac:dyDescent="0.25">
      <c r="A105" t="str">
        <f>"01150 "</f>
        <v xml:space="preserve">01150 </v>
      </c>
      <c r="B105" t="s">
        <v>209</v>
      </c>
      <c r="C105" t="s">
        <v>210</v>
      </c>
    </row>
    <row r="106" spans="1:3" x14ac:dyDescent="0.25">
      <c r="A106" t="str">
        <f>"01151 "</f>
        <v xml:space="preserve">01151 </v>
      </c>
      <c r="B106" t="s">
        <v>211</v>
      </c>
      <c r="C106" t="s">
        <v>212</v>
      </c>
    </row>
    <row r="107" spans="1:3" x14ac:dyDescent="0.25">
      <c r="A107" t="str">
        <f>"01170 "</f>
        <v xml:space="preserve">01170 </v>
      </c>
      <c r="B107" t="s">
        <v>213</v>
      </c>
      <c r="C107" t="s">
        <v>214</v>
      </c>
    </row>
    <row r="108" spans="1:3" x14ac:dyDescent="0.25">
      <c r="A108" t="str">
        <f>"01181 "</f>
        <v xml:space="preserve">01181 </v>
      </c>
      <c r="B108" t="s">
        <v>215</v>
      </c>
      <c r="C108" t="s">
        <v>216</v>
      </c>
    </row>
    <row r="109" spans="1:3" x14ac:dyDescent="0.25">
      <c r="A109" t="str">
        <f>"01182 "</f>
        <v xml:space="preserve">01182 </v>
      </c>
      <c r="B109" t="s">
        <v>217</v>
      </c>
      <c r="C109" t="s">
        <v>217</v>
      </c>
    </row>
    <row r="110" spans="1:3" x14ac:dyDescent="0.25">
      <c r="A110" t="str">
        <f>"01183 "</f>
        <v xml:space="preserve">01183 </v>
      </c>
      <c r="B110" t="s">
        <v>218</v>
      </c>
      <c r="C110" t="s">
        <v>218</v>
      </c>
    </row>
    <row r="111" spans="1:3" x14ac:dyDescent="0.25">
      <c r="A111" t="str">
        <f>"01184 "</f>
        <v xml:space="preserve">01184 </v>
      </c>
      <c r="B111" t="s">
        <v>219</v>
      </c>
      <c r="C111" t="s">
        <v>220</v>
      </c>
    </row>
    <row r="112" spans="1:3" x14ac:dyDescent="0.25">
      <c r="A112" t="str">
        <f>"01191 "</f>
        <v xml:space="preserve">01191 </v>
      </c>
      <c r="B112" t="s">
        <v>221</v>
      </c>
      <c r="C112" t="s">
        <v>222</v>
      </c>
    </row>
    <row r="113" spans="1:3" x14ac:dyDescent="0.25">
      <c r="A113" t="str">
        <f>"01192 "</f>
        <v xml:space="preserve">01192 </v>
      </c>
      <c r="B113" t="s">
        <v>223</v>
      </c>
      <c r="C113" t="s">
        <v>224</v>
      </c>
    </row>
    <row r="114" spans="1:3" x14ac:dyDescent="0.25">
      <c r="A114" t="str">
        <f>"01193 "</f>
        <v xml:space="preserve">01193 </v>
      </c>
      <c r="B114" t="s">
        <v>225</v>
      </c>
      <c r="C114" t="s">
        <v>226</v>
      </c>
    </row>
    <row r="115" spans="1:3" x14ac:dyDescent="0.25">
      <c r="A115" t="str">
        <f>"01194 "</f>
        <v xml:space="preserve">01194 </v>
      </c>
      <c r="B115" t="s">
        <v>227</v>
      </c>
      <c r="C115" t="s">
        <v>228</v>
      </c>
    </row>
    <row r="116" spans="1:3" x14ac:dyDescent="0.25">
      <c r="A116" t="str">
        <f>"01195 "</f>
        <v xml:space="preserve">01195 </v>
      </c>
      <c r="B116" t="s">
        <v>229</v>
      </c>
      <c r="C116" t="s">
        <v>230</v>
      </c>
    </row>
    <row r="117" spans="1:3" x14ac:dyDescent="0.25">
      <c r="A117" t="str">
        <f>"01196 "</f>
        <v xml:space="preserve">01196 </v>
      </c>
      <c r="B117" t="s">
        <v>231</v>
      </c>
      <c r="C117" t="s">
        <v>232</v>
      </c>
    </row>
    <row r="118" spans="1:3" x14ac:dyDescent="0.25">
      <c r="A118" t="str">
        <f>"01197 "</f>
        <v xml:space="preserve">01197 </v>
      </c>
      <c r="B118" t="s">
        <v>233</v>
      </c>
      <c r="C118" t="s">
        <v>234</v>
      </c>
    </row>
    <row r="119" spans="1:3" x14ac:dyDescent="0.25">
      <c r="A119" t="str">
        <f>"01198 "</f>
        <v xml:space="preserve">01198 </v>
      </c>
      <c r="B119" t="s">
        <v>235</v>
      </c>
      <c r="C119" t="s">
        <v>236</v>
      </c>
    </row>
    <row r="120" spans="1:3" x14ac:dyDescent="0.25">
      <c r="A120" t="str">
        <f>"01201 "</f>
        <v xml:space="preserve">01201 </v>
      </c>
      <c r="B120" t="s">
        <v>237</v>
      </c>
      <c r="C120" t="s">
        <v>238</v>
      </c>
    </row>
    <row r="121" spans="1:3" x14ac:dyDescent="0.25">
      <c r="A121" t="str">
        <f>"01202 "</f>
        <v xml:space="preserve">01202 </v>
      </c>
      <c r="B121" t="s">
        <v>239</v>
      </c>
      <c r="C121" t="s">
        <v>240</v>
      </c>
    </row>
    <row r="122" spans="1:3" x14ac:dyDescent="0.25">
      <c r="A122" t="str">
        <f>"01203 "</f>
        <v xml:space="preserve">01203 </v>
      </c>
      <c r="B122" t="s">
        <v>241</v>
      </c>
      <c r="C122" t="s">
        <v>242</v>
      </c>
    </row>
    <row r="123" spans="1:3" x14ac:dyDescent="0.25">
      <c r="A123" t="str">
        <f>"01211 "</f>
        <v xml:space="preserve">01211 </v>
      </c>
      <c r="B123" t="s">
        <v>243</v>
      </c>
      <c r="C123" t="s">
        <v>244</v>
      </c>
    </row>
    <row r="124" spans="1:3" x14ac:dyDescent="0.25">
      <c r="A124" t="str">
        <f>"01221 "</f>
        <v xml:space="preserve">01221 </v>
      </c>
      <c r="B124" t="s">
        <v>245</v>
      </c>
      <c r="C124" t="s">
        <v>246</v>
      </c>
    </row>
    <row r="125" spans="1:3" x14ac:dyDescent="0.25">
      <c r="A125" t="str">
        <f>"01222 "</f>
        <v xml:space="preserve">01222 </v>
      </c>
      <c r="B125" t="s">
        <v>247</v>
      </c>
      <c r="C125" t="s">
        <v>248</v>
      </c>
    </row>
    <row r="126" spans="1:3" x14ac:dyDescent="0.25">
      <c r="A126" t="str">
        <f>"01222R"</f>
        <v>01222R</v>
      </c>
      <c r="B126" t="s">
        <v>249</v>
      </c>
      <c r="C126" t="s">
        <v>250</v>
      </c>
    </row>
    <row r="127" spans="1:3" x14ac:dyDescent="0.25">
      <c r="A127" t="str">
        <f>"01223 "</f>
        <v xml:space="preserve">01223 </v>
      </c>
      <c r="B127" t="s">
        <v>251</v>
      </c>
      <c r="C127" t="s">
        <v>252</v>
      </c>
    </row>
    <row r="128" spans="1:3" x14ac:dyDescent="0.25">
      <c r="A128" t="str">
        <f>"01224 "</f>
        <v xml:space="preserve">01224 </v>
      </c>
      <c r="B128" t="s">
        <v>253</v>
      </c>
      <c r="C128" t="s">
        <v>254</v>
      </c>
    </row>
    <row r="129" spans="1:3" x14ac:dyDescent="0.25">
      <c r="A129" t="str">
        <f>"01225 "</f>
        <v xml:space="preserve">01225 </v>
      </c>
      <c r="B129" t="s">
        <v>255</v>
      </c>
      <c r="C129" t="s">
        <v>256</v>
      </c>
    </row>
    <row r="130" spans="1:3" x14ac:dyDescent="0.25">
      <c r="A130" t="str">
        <f>"01226 "</f>
        <v xml:space="preserve">01226 </v>
      </c>
      <c r="B130" t="s">
        <v>257</v>
      </c>
      <c r="C130" t="s">
        <v>258</v>
      </c>
    </row>
    <row r="131" spans="1:3" x14ac:dyDescent="0.25">
      <c r="A131" t="str">
        <f>"0122M1"</f>
        <v>0122M1</v>
      </c>
      <c r="B131" t="s">
        <v>259</v>
      </c>
      <c r="C131" t="s">
        <v>260</v>
      </c>
    </row>
    <row r="132" spans="1:3" x14ac:dyDescent="0.25">
      <c r="A132" t="str">
        <f>"0122M2"</f>
        <v>0122M2</v>
      </c>
      <c r="B132" t="s">
        <v>261</v>
      </c>
      <c r="C132" t="s">
        <v>262</v>
      </c>
    </row>
    <row r="133" spans="1:3" x14ac:dyDescent="0.25">
      <c r="A133" t="str">
        <f>"0122M3"</f>
        <v>0122M3</v>
      </c>
      <c r="B133" t="s">
        <v>263</v>
      </c>
      <c r="C133" t="s">
        <v>264</v>
      </c>
    </row>
    <row r="134" spans="1:3" x14ac:dyDescent="0.25">
      <c r="A134" t="str">
        <f>"0122M4"</f>
        <v>0122M4</v>
      </c>
      <c r="B134" t="s">
        <v>265</v>
      </c>
      <c r="C134" t="s">
        <v>266</v>
      </c>
    </row>
    <row r="135" spans="1:3" x14ac:dyDescent="0.25">
      <c r="A135" t="str">
        <f>"0122P "</f>
        <v xml:space="preserve">0122P </v>
      </c>
      <c r="B135" t="s">
        <v>267</v>
      </c>
      <c r="C135" t="s">
        <v>268</v>
      </c>
    </row>
    <row r="136" spans="1:3" x14ac:dyDescent="0.25">
      <c r="A136" t="str">
        <f>"01231 "</f>
        <v xml:space="preserve">01231 </v>
      </c>
      <c r="B136" t="s">
        <v>269</v>
      </c>
      <c r="C136" t="s">
        <v>270</v>
      </c>
    </row>
    <row r="137" spans="1:3" x14ac:dyDescent="0.25">
      <c r="A137" t="str">
        <f>"01241 "</f>
        <v xml:space="preserve">01241 </v>
      </c>
      <c r="B137" t="s">
        <v>271</v>
      </c>
      <c r="C137" t="s">
        <v>272</v>
      </c>
    </row>
    <row r="138" spans="1:3" x14ac:dyDescent="0.25">
      <c r="A138" t="str">
        <f>"01251 "</f>
        <v xml:space="preserve">01251 </v>
      </c>
      <c r="B138" t="s">
        <v>273</v>
      </c>
      <c r="C138" t="s">
        <v>274</v>
      </c>
    </row>
    <row r="139" spans="1:3" x14ac:dyDescent="0.25">
      <c r="A139" t="str">
        <f>"01261 "</f>
        <v xml:space="preserve">01261 </v>
      </c>
      <c r="B139" t="s">
        <v>275</v>
      </c>
      <c r="C139" t="s">
        <v>276</v>
      </c>
    </row>
    <row r="140" spans="1:3" x14ac:dyDescent="0.25">
      <c r="A140" t="str">
        <f>"01271 "</f>
        <v xml:space="preserve">01271 </v>
      </c>
      <c r="B140" t="s">
        <v>277</v>
      </c>
      <c r="C140" t="s">
        <v>278</v>
      </c>
    </row>
    <row r="141" spans="1:3" x14ac:dyDescent="0.25">
      <c r="A141" t="str">
        <f>"012711"</f>
        <v>012711</v>
      </c>
      <c r="B141" t="s">
        <v>279</v>
      </c>
      <c r="C141" t="s">
        <v>280</v>
      </c>
    </row>
    <row r="142" spans="1:3" x14ac:dyDescent="0.25">
      <c r="A142" t="str">
        <f>"012712"</f>
        <v>012712</v>
      </c>
      <c r="B142" t="s">
        <v>281</v>
      </c>
      <c r="C142" t="s">
        <v>282</v>
      </c>
    </row>
    <row r="143" spans="1:3" x14ac:dyDescent="0.25">
      <c r="A143" t="str">
        <f>"012713"</f>
        <v>012713</v>
      </c>
      <c r="B143" t="s">
        <v>283</v>
      </c>
      <c r="C143" t="s">
        <v>284</v>
      </c>
    </row>
    <row r="144" spans="1:3" x14ac:dyDescent="0.25">
      <c r="A144" t="str">
        <f>"012714"</f>
        <v>012714</v>
      </c>
      <c r="B144" t="s">
        <v>285</v>
      </c>
      <c r="C144" t="s">
        <v>286</v>
      </c>
    </row>
    <row r="145" spans="1:3" x14ac:dyDescent="0.25">
      <c r="A145" t="str">
        <f>"012715"</f>
        <v>012715</v>
      </c>
      <c r="B145" t="s">
        <v>287</v>
      </c>
      <c r="C145" t="s">
        <v>288</v>
      </c>
    </row>
    <row r="146" spans="1:3" x14ac:dyDescent="0.25">
      <c r="A146" t="str">
        <f>"012716"</f>
        <v>012716</v>
      </c>
      <c r="B146" t="s">
        <v>289</v>
      </c>
      <c r="C146" t="s">
        <v>290</v>
      </c>
    </row>
    <row r="147" spans="1:3" x14ac:dyDescent="0.25">
      <c r="A147" t="str">
        <f>"012717"</f>
        <v>012717</v>
      </c>
      <c r="B147" t="s">
        <v>291</v>
      </c>
      <c r="C147" t="s">
        <v>292</v>
      </c>
    </row>
    <row r="148" spans="1:3" x14ac:dyDescent="0.25">
      <c r="A148" t="str">
        <f>"012718"</f>
        <v>012718</v>
      </c>
      <c r="B148" t="s">
        <v>293</v>
      </c>
      <c r="C148" t="s">
        <v>294</v>
      </c>
    </row>
    <row r="149" spans="1:3" x14ac:dyDescent="0.25">
      <c r="A149" t="str">
        <f>"012719"</f>
        <v>012719</v>
      </c>
      <c r="B149" t="s">
        <v>295</v>
      </c>
      <c r="C149" t="s">
        <v>296</v>
      </c>
    </row>
    <row r="150" spans="1:3" x14ac:dyDescent="0.25">
      <c r="A150" t="str">
        <f>"01272 "</f>
        <v xml:space="preserve">01272 </v>
      </c>
      <c r="B150" t="s">
        <v>297</v>
      </c>
      <c r="C150" t="s">
        <v>298</v>
      </c>
    </row>
    <row r="151" spans="1:3" x14ac:dyDescent="0.25">
      <c r="A151" t="str">
        <f>"012720"</f>
        <v>012720</v>
      </c>
      <c r="B151" t="s">
        <v>299</v>
      </c>
      <c r="C151" t="s">
        <v>300</v>
      </c>
    </row>
    <row r="152" spans="1:3" x14ac:dyDescent="0.25">
      <c r="A152" t="str">
        <f>"012721"</f>
        <v>012721</v>
      </c>
      <c r="B152" t="s">
        <v>301</v>
      </c>
      <c r="C152" t="s">
        <v>302</v>
      </c>
    </row>
    <row r="153" spans="1:3" x14ac:dyDescent="0.25">
      <c r="A153" t="str">
        <f>"012722"</f>
        <v>012722</v>
      </c>
      <c r="B153" t="s">
        <v>303</v>
      </c>
      <c r="C153" t="s">
        <v>304</v>
      </c>
    </row>
    <row r="154" spans="1:3" x14ac:dyDescent="0.25">
      <c r="A154" t="str">
        <f>"012723"</f>
        <v>012723</v>
      </c>
      <c r="B154" t="s">
        <v>305</v>
      </c>
      <c r="C154" t="s">
        <v>306</v>
      </c>
    </row>
    <row r="155" spans="1:3" x14ac:dyDescent="0.25">
      <c r="A155" t="str">
        <f>"012724"</f>
        <v>012724</v>
      </c>
      <c r="B155" t="s">
        <v>307</v>
      </c>
      <c r="C155" t="s">
        <v>308</v>
      </c>
    </row>
    <row r="156" spans="1:3" x14ac:dyDescent="0.25">
      <c r="A156" t="str">
        <f>"012725"</f>
        <v>012725</v>
      </c>
      <c r="B156" t="s">
        <v>309</v>
      </c>
      <c r="C156" t="s">
        <v>310</v>
      </c>
    </row>
    <row r="157" spans="1:3" x14ac:dyDescent="0.25">
      <c r="A157" t="str">
        <f>"012726"</f>
        <v>012726</v>
      </c>
      <c r="B157" t="s">
        <v>311</v>
      </c>
      <c r="C157" t="s">
        <v>312</v>
      </c>
    </row>
    <row r="158" spans="1:3" x14ac:dyDescent="0.25">
      <c r="A158" t="str">
        <f>"01273 "</f>
        <v xml:space="preserve">01273 </v>
      </c>
      <c r="B158" t="s">
        <v>313</v>
      </c>
      <c r="C158" t="s">
        <v>314</v>
      </c>
    </row>
    <row r="159" spans="1:3" x14ac:dyDescent="0.25">
      <c r="A159" t="str">
        <f>"01274 "</f>
        <v xml:space="preserve">01274 </v>
      </c>
      <c r="B159" t="s">
        <v>315</v>
      </c>
      <c r="C159" t="s">
        <v>316</v>
      </c>
    </row>
    <row r="160" spans="1:3" x14ac:dyDescent="0.25">
      <c r="A160" t="str">
        <f>"01275 "</f>
        <v xml:space="preserve">01275 </v>
      </c>
      <c r="B160" t="s">
        <v>317</v>
      </c>
      <c r="C160" t="s">
        <v>318</v>
      </c>
    </row>
    <row r="161" spans="1:3" x14ac:dyDescent="0.25">
      <c r="A161" t="str">
        <f>"01276 "</f>
        <v xml:space="preserve">01276 </v>
      </c>
      <c r="B161" t="s">
        <v>319</v>
      </c>
      <c r="C161" t="s">
        <v>320</v>
      </c>
    </row>
    <row r="162" spans="1:3" x14ac:dyDescent="0.25">
      <c r="A162" t="str">
        <f>"01277 "</f>
        <v xml:space="preserve">01277 </v>
      </c>
      <c r="B162" t="s">
        <v>321</v>
      </c>
      <c r="C162" t="s">
        <v>322</v>
      </c>
    </row>
    <row r="163" spans="1:3" x14ac:dyDescent="0.25">
      <c r="A163" t="str">
        <f>"01278 "</f>
        <v xml:space="preserve">01278 </v>
      </c>
      <c r="B163" t="s">
        <v>323</v>
      </c>
      <c r="C163" t="s">
        <v>324</v>
      </c>
    </row>
    <row r="164" spans="1:3" x14ac:dyDescent="0.25">
      <c r="A164" t="str">
        <f>"01281 "</f>
        <v xml:space="preserve">01281 </v>
      </c>
      <c r="B164" t="s">
        <v>325</v>
      </c>
      <c r="C164" t="s">
        <v>326</v>
      </c>
    </row>
    <row r="165" spans="1:3" x14ac:dyDescent="0.25">
      <c r="A165" t="str">
        <f>"012810"</f>
        <v>012810</v>
      </c>
      <c r="B165" t="s">
        <v>327</v>
      </c>
      <c r="C165" t="s">
        <v>328</v>
      </c>
    </row>
    <row r="166" spans="1:3" x14ac:dyDescent="0.25">
      <c r="A166" t="str">
        <f>"01282 "</f>
        <v xml:space="preserve">01282 </v>
      </c>
      <c r="B166" t="s">
        <v>329</v>
      </c>
      <c r="C166" t="s">
        <v>330</v>
      </c>
    </row>
    <row r="167" spans="1:3" x14ac:dyDescent="0.25">
      <c r="A167" t="str">
        <f>"01283 "</f>
        <v xml:space="preserve">01283 </v>
      </c>
      <c r="B167" t="s">
        <v>331</v>
      </c>
      <c r="C167" t="s">
        <v>332</v>
      </c>
    </row>
    <row r="168" spans="1:3" x14ac:dyDescent="0.25">
      <c r="A168" t="str">
        <f>"01284 "</f>
        <v xml:space="preserve">01284 </v>
      </c>
      <c r="B168" t="s">
        <v>333</v>
      </c>
      <c r="C168" t="s">
        <v>334</v>
      </c>
    </row>
    <row r="169" spans="1:3" x14ac:dyDescent="0.25">
      <c r="A169" t="str">
        <f>"01285 "</f>
        <v xml:space="preserve">01285 </v>
      </c>
      <c r="B169" t="s">
        <v>335</v>
      </c>
      <c r="C169" t="s">
        <v>336</v>
      </c>
    </row>
    <row r="170" spans="1:3" x14ac:dyDescent="0.25">
      <c r="A170" t="str">
        <f>"01286 "</f>
        <v xml:space="preserve">01286 </v>
      </c>
      <c r="B170" t="s">
        <v>337</v>
      </c>
      <c r="C170" t="s">
        <v>338</v>
      </c>
    </row>
    <row r="171" spans="1:3" x14ac:dyDescent="0.25">
      <c r="A171" t="str">
        <f>"01287 "</f>
        <v xml:space="preserve">01287 </v>
      </c>
      <c r="B171" t="s">
        <v>339</v>
      </c>
      <c r="C171" t="s">
        <v>340</v>
      </c>
    </row>
    <row r="172" spans="1:3" x14ac:dyDescent="0.25">
      <c r="A172" t="str">
        <f>"01288 "</f>
        <v xml:space="preserve">01288 </v>
      </c>
      <c r="B172" t="s">
        <v>341</v>
      </c>
      <c r="C172" t="s">
        <v>342</v>
      </c>
    </row>
    <row r="173" spans="1:3" x14ac:dyDescent="0.25">
      <c r="A173" t="str">
        <f>"01289 "</f>
        <v xml:space="preserve">01289 </v>
      </c>
      <c r="B173" t="s">
        <v>343</v>
      </c>
      <c r="C173" t="s">
        <v>344</v>
      </c>
    </row>
    <row r="174" spans="1:3" x14ac:dyDescent="0.25">
      <c r="A174" t="str">
        <f>"01309 "</f>
        <v xml:space="preserve">01309 </v>
      </c>
      <c r="B174" t="s">
        <v>345</v>
      </c>
      <c r="C174" t="s">
        <v>346</v>
      </c>
    </row>
    <row r="175" spans="1:3" x14ac:dyDescent="0.25">
      <c r="A175" t="str">
        <f>"01310 "</f>
        <v xml:space="preserve">01310 </v>
      </c>
      <c r="B175" t="s">
        <v>347</v>
      </c>
      <c r="C175" t="s">
        <v>348</v>
      </c>
    </row>
    <row r="176" spans="1:3" x14ac:dyDescent="0.25">
      <c r="A176" t="str">
        <f>"01321 "</f>
        <v xml:space="preserve">01321 </v>
      </c>
      <c r="B176" t="s">
        <v>349</v>
      </c>
      <c r="C176" t="s">
        <v>350</v>
      </c>
    </row>
    <row r="177" spans="1:3" x14ac:dyDescent="0.25">
      <c r="A177" t="str">
        <f>"01322 "</f>
        <v xml:space="preserve">01322 </v>
      </c>
      <c r="B177" t="s">
        <v>351</v>
      </c>
      <c r="C177" t="s">
        <v>352</v>
      </c>
    </row>
    <row r="178" spans="1:3" x14ac:dyDescent="0.25">
      <c r="A178" t="str">
        <f>"01322R"</f>
        <v>01322R</v>
      </c>
      <c r="B178" t="s">
        <v>353</v>
      </c>
      <c r="C178" t="s">
        <v>354</v>
      </c>
    </row>
    <row r="179" spans="1:3" x14ac:dyDescent="0.25">
      <c r="A179" t="str">
        <f>"01323 "</f>
        <v xml:space="preserve">01323 </v>
      </c>
      <c r="B179" t="s">
        <v>355</v>
      </c>
      <c r="C179" t="s">
        <v>356</v>
      </c>
    </row>
    <row r="180" spans="1:3" x14ac:dyDescent="0.25">
      <c r="A180" t="str">
        <f>"01324 "</f>
        <v xml:space="preserve">01324 </v>
      </c>
      <c r="B180" t="s">
        <v>357</v>
      </c>
      <c r="C180" t="s">
        <v>358</v>
      </c>
    </row>
    <row r="181" spans="1:3" x14ac:dyDescent="0.25">
      <c r="A181" t="str">
        <f>"01325 "</f>
        <v xml:space="preserve">01325 </v>
      </c>
      <c r="B181" t="s">
        <v>359</v>
      </c>
      <c r="C181" t="s">
        <v>360</v>
      </c>
    </row>
    <row r="182" spans="1:3" x14ac:dyDescent="0.25">
      <c r="A182" t="str">
        <f>"01326 "</f>
        <v xml:space="preserve">01326 </v>
      </c>
      <c r="B182" t="s">
        <v>361</v>
      </c>
      <c r="C182" t="s">
        <v>362</v>
      </c>
    </row>
    <row r="183" spans="1:3" x14ac:dyDescent="0.25">
      <c r="A183" t="str">
        <f>"01327 "</f>
        <v xml:space="preserve">01327 </v>
      </c>
      <c r="B183" t="s">
        <v>363</v>
      </c>
      <c r="C183" t="s">
        <v>364</v>
      </c>
    </row>
    <row r="184" spans="1:3" x14ac:dyDescent="0.25">
      <c r="A184" t="str">
        <f>"01328 "</f>
        <v xml:space="preserve">01328 </v>
      </c>
      <c r="B184" t="s">
        <v>365</v>
      </c>
      <c r="C184" t="s">
        <v>366</v>
      </c>
    </row>
    <row r="185" spans="1:3" x14ac:dyDescent="0.25">
      <c r="A185" t="str">
        <f>"0132M1"</f>
        <v>0132M1</v>
      </c>
      <c r="B185" t="s">
        <v>367</v>
      </c>
      <c r="C185" t="s">
        <v>368</v>
      </c>
    </row>
    <row r="186" spans="1:3" x14ac:dyDescent="0.25">
      <c r="A186" t="str">
        <f>"0132M2"</f>
        <v>0132M2</v>
      </c>
      <c r="B186" t="s">
        <v>369</v>
      </c>
      <c r="C186" t="s">
        <v>370</v>
      </c>
    </row>
    <row r="187" spans="1:3" x14ac:dyDescent="0.25">
      <c r="A187" t="str">
        <f>"0132M3"</f>
        <v>0132M3</v>
      </c>
      <c r="B187" t="s">
        <v>371</v>
      </c>
      <c r="C187" t="s">
        <v>372</v>
      </c>
    </row>
    <row r="188" spans="1:3" x14ac:dyDescent="0.25">
      <c r="A188" t="str">
        <f>"0132P "</f>
        <v xml:space="preserve">0132P </v>
      </c>
      <c r="B188" t="s">
        <v>373</v>
      </c>
      <c r="C188" t="s">
        <v>374</v>
      </c>
    </row>
    <row r="189" spans="1:3" x14ac:dyDescent="0.25">
      <c r="A189" t="str">
        <f>"01331 "</f>
        <v xml:space="preserve">01331 </v>
      </c>
      <c r="B189" t="s">
        <v>375</v>
      </c>
      <c r="C189" t="s">
        <v>376</v>
      </c>
    </row>
    <row r="190" spans="1:3" x14ac:dyDescent="0.25">
      <c r="A190" t="str">
        <f>"01332 "</f>
        <v xml:space="preserve">01332 </v>
      </c>
      <c r="B190" t="s">
        <v>377</v>
      </c>
      <c r="C190" t="s">
        <v>378</v>
      </c>
    </row>
    <row r="191" spans="1:3" x14ac:dyDescent="0.25">
      <c r="A191" t="str">
        <f>"01333 "</f>
        <v xml:space="preserve">01333 </v>
      </c>
      <c r="B191" t="s">
        <v>379</v>
      </c>
      <c r="C191" t="s">
        <v>380</v>
      </c>
    </row>
    <row r="192" spans="1:3" x14ac:dyDescent="0.25">
      <c r="A192" t="str">
        <f>"01334 "</f>
        <v xml:space="preserve">01334 </v>
      </c>
      <c r="B192" t="s">
        <v>381</v>
      </c>
      <c r="C192" t="s">
        <v>382</v>
      </c>
    </row>
    <row r="193" spans="1:3" x14ac:dyDescent="0.25">
      <c r="A193" t="str">
        <f>"01335 "</f>
        <v xml:space="preserve">01335 </v>
      </c>
      <c r="B193" t="s">
        <v>383</v>
      </c>
      <c r="C193" t="s">
        <v>384</v>
      </c>
    </row>
    <row r="194" spans="1:3" x14ac:dyDescent="0.25">
      <c r="A194" t="str">
        <f>"01341 "</f>
        <v xml:space="preserve">01341 </v>
      </c>
      <c r="B194" t="s">
        <v>385</v>
      </c>
      <c r="C194" t="s">
        <v>386</v>
      </c>
    </row>
    <row r="195" spans="1:3" x14ac:dyDescent="0.25">
      <c r="A195" t="str">
        <f>"01351 "</f>
        <v xml:space="preserve">01351 </v>
      </c>
      <c r="B195" t="s">
        <v>387</v>
      </c>
      <c r="C195" t="s">
        <v>388</v>
      </c>
    </row>
    <row r="196" spans="1:3" x14ac:dyDescent="0.25">
      <c r="A196" t="str">
        <f>"01361 "</f>
        <v xml:space="preserve">01361 </v>
      </c>
      <c r="B196" t="s">
        <v>389</v>
      </c>
      <c r="C196" t="s">
        <v>390</v>
      </c>
    </row>
    <row r="197" spans="1:3" x14ac:dyDescent="0.25">
      <c r="A197" t="str">
        <f>"01371 "</f>
        <v xml:space="preserve">01371 </v>
      </c>
      <c r="B197" t="s">
        <v>391</v>
      </c>
      <c r="C197" t="s">
        <v>392</v>
      </c>
    </row>
    <row r="198" spans="1:3" x14ac:dyDescent="0.25">
      <c r="A198" t="str">
        <f>"01381 "</f>
        <v xml:space="preserve">01381 </v>
      </c>
      <c r="B198" t="s">
        <v>393</v>
      </c>
      <c r="C198" t="s">
        <v>394</v>
      </c>
    </row>
    <row r="199" spans="1:3" x14ac:dyDescent="0.25">
      <c r="A199" t="str">
        <f>"01391 "</f>
        <v xml:space="preserve">01391 </v>
      </c>
      <c r="B199" t="s">
        <v>395</v>
      </c>
      <c r="C199" t="s">
        <v>396</v>
      </c>
    </row>
    <row r="200" spans="1:3" x14ac:dyDescent="0.25">
      <c r="A200" t="str">
        <f>"01401 "</f>
        <v xml:space="preserve">01401 </v>
      </c>
      <c r="B200" t="s">
        <v>397</v>
      </c>
      <c r="C200" t="s">
        <v>398</v>
      </c>
    </row>
    <row r="201" spans="1:3" x14ac:dyDescent="0.25">
      <c r="A201" t="str">
        <f>"01411 "</f>
        <v xml:space="preserve">01411 </v>
      </c>
      <c r="B201" t="s">
        <v>399</v>
      </c>
      <c r="C201" t="s">
        <v>400</v>
      </c>
    </row>
    <row r="202" spans="1:3" x14ac:dyDescent="0.25">
      <c r="A202" t="str">
        <f>"01421 "</f>
        <v xml:space="preserve">01421 </v>
      </c>
      <c r="B202" t="s">
        <v>401</v>
      </c>
      <c r="C202" t="s">
        <v>402</v>
      </c>
    </row>
    <row r="203" spans="1:3" x14ac:dyDescent="0.25">
      <c r="A203" t="str">
        <f>"01431 "</f>
        <v xml:space="preserve">01431 </v>
      </c>
      <c r="B203" t="s">
        <v>403</v>
      </c>
      <c r="C203" t="s">
        <v>404</v>
      </c>
    </row>
    <row r="204" spans="1:3" x14ac:dyDescent="0.25">
      <c r="A204" t="str">
        <f>"01441 "</f>
        <v xml:space="preserve">01441 </v>
      </c>
      <c r="B204" t="s">
        <v>17</v>
      </c>
      <c r="C204" t="s">
        <v>405</v>
      </c>
    </row>
    <row r="205" spans="1:3" x14ac:dyDescent="0.25">
      <c r="A205" t="str">
        <f>"01449 "</f>
        <v xml:space="preserve">01449 </v>
      </c>
      <c r="B205" t="s">
        <v>406</v>
      </c>
      <c r="C205" t="s">
        <v>407</v>
      </c>
    </row>
    <row r="206" spans="1:3" x14ac:dyDescent="0.25">
      <c r="A206" t="str">
        <f>"01451 "</f>
        <v xml:space="preserve">01451 </v>
      </c>
      <c r="B206" t="s">
        <v>408</v>
      </c>
      <c r="C206" t="s">
        <v>409</v>
      </c>
    </row>
    <row r="207" spans="1:3" x14ac:dyDescent="0.25">
      <c r="A207" t="str">
        <f>"01461 "</f>
        <v xml:space="preserve">01461 </v>
      </c>
      <c r="B207" t="s">
        <v>410</v>
      </c>
      <c r="C207" t="s">
        <v>411</v>
      </c>
    </row>
    <row r="208" spans="1:3" x14ac:dyDescent="0.25">
      <c r="A208" t="str">
        <f>"01471 "</f>
        <v xml:space="preserve">01471 </v>
      </c>
      <c r="B208" t="s">
        <v>412</v>
      </c>
      <c r="C208" t="s">
        <v>413</v>
      </c>
    </row>
    <row r="209" spans="1:3" x14ac:dyDescent="0.25">
      <c r="A209" t="str">
        <f>"01491 "</f>
        <v xml:space="preserve">01491 </v>
      </c>
      <c r="B209" t="s">
        <v>414</v>
      </c>
      <c r="C209" t="s">
        <v>415</v>
      </c>
    </row>
    <row r="210" spans="1:3" x14ac:dyDescent="0.25">
      <c r="A210" t="str">
        <f>"01511 "</f>
        <v xml:space="preserve">01511 </v>
      </c>
      <c r="B210" t="s">
        <v>416</v>
      </c>
      <c r="C210" t="s">
        <v>417</v>
      </c>
    </row>
    <row r="211" spans="1:3" x14ac:dyDescent="0.25">
      <c r="A211" t="str">
        <f>"01512 "</f>
        <v xml:space="preserve">01512 </v>
      </c>
      <c r="B211" t="s">
        <v>418</v>
      </c>
      <c r="C211" t="s">
        <v>419</v>
      </c>
    </row>
    <row r="212" spans="1:3" x14ac:dyDescent="0.25">
      <c r="A212" t="str">
        <f>"01521 "</f>
        <v xml:space="preserve">01521 </v>
      </c>
      <c r="B212" t="s">
        <v>420</v>
      </c>
      <c r="C212" t="s">
        <v>421</v>
      </c>
    </row>
    <row r="213" spans="1:3" x14ac:dyDescent="0.25">
      <c r="A213" t="str">
        <f>"01522 "</f>
        <v xml:space="preserve">01522 </v>
      </c>
      <c r="B213" t="s">
        <v>422</v>
      </c>
      <c r="C213" t="s">
        <v>423</v>
      </c>
    </row>
    <row r="214" spans="1:3" x14ac:dyDescent="0.25">
      <c r="A214" t="str">
        <f>"01522R"</f>
        <v>01522R</v>
      </c>
      <c r="B214" t="s">
        <v>424</v>
      </c>
      <c r="C214" t="s">
        <v>425</v>
      </c>
    </row>
    <row r="215" spans="1:3" x14ac:dyDescent="0.25">
      <c r="A215" t="str">
        <f>"01523 "</f>
        <v xml:space="preserve">01523 </v>
      </c>
      <c r="B215" t="s">
        <v>426</v>
      </c>
      <c r="C215" t="s">
        <v>427</v>
      </c>
    </row>
    <row r="216" spans="1:3" x14ac:dyDescent="0.25">
      <c r="A216" t="str">
        <f>"01524 "</f>
        <v xml:space="preserve">01524 </v>
      </c>
      <c r="B216" t="s">
        <v>428</v>
      </c>
      <c r="C216" t="s">
        <v>429</v>
      </c>
    </row>
    <row r="217" spans="1:3" x14ac:dyDescent="0.25">
      <c r="A217" t="str">
        <f>"01525 "</f>
        <v xml:space="preserve">01525 </v>
      </c>
      <c r="B217" t="s">
        <v>430</v>
      </c>
      <c r="C217" t="s">
        <v>431</v>
      </c>
    </row>
    <row r="218" spans="1:3" x14ac:dyDescent="0.25">
      <c r="A218" t="str">
        <f>"0152M1"</f>
        <v>0152M1</v>
      </c>
      <c r="B218" t="s">
        <v>432</v>
      </c>
      <c r="C218" t="s">
        <v>433</v>
      </c>
    </row>
    <row r="219" spans="1:3" x14ac:dyDescent="0.25">
      <c r="A219" t="str">
        <f>"0152P "</f>
        <v xml:space="preserve">0152P </v>
      </c>
      <c r="B219" t="s">
        <v>434</v>
      </c>
      <c r="C219" t="s">
        <v>435</v>
      </c>
    </row>
    <row r="220" spans="1:3" x14ac:dyDescent="0.25">
      <c r="A220" t="str">
        <f>"01531 "</f>
        <v xml:space="preserve">01531 </v>
      </c>
      <c r="B220" t="s">
        <v>436</v>
      </c>
      <c r="C220" t="s">
        <v>437</v>
      </c>
    </row>
    <row r="221" spans="1:3" x14ac:dyDescent="0.25">
      <c r="A221" t="str">
        <f>"01541 "</f>
        <v xml:space="preserve">01541 </v>
      </c>
      <c r="B221" t="s">
        <v>438</v>
      </c>
      <c r="C221" t="s">
        <v>439</v>
      </c>
    </row>
    <row r="222" spans="1:3" x14ac:dyDescent="0.25">
      <c r="A222" t="str">
        <f>"01581 "</f>
        <v xml:space="preserve">01581 </v>
      </c>
      <c r="B222" t="s">
        <v>440</v>
      </c>
      <c r="C222" t="s">
        <v>441</v>
      </c>
    </row>
    <row r="223" spans="1:3" x14ac:dyDescent="0.25">
      <c r="A223" t="str">
        <f>"01591 "</f>
        <v xml:space="preserve">01591 </v>
      </c>
      <c r="B223" t="s">
        <v>442</v>
      </c>
      <c r="C223" t="s">
        <v>443</v>
      </c>
    </row>
    <row r="224" spans="1:3" x14ac:dyDescent="0.25">
      <c r="A224" t="str">
        <f>"015D1 "</f>
        <v xml:space="preserve">015D1 </v>
      </c>
      <c r="B224" t="s">
        <v>444</v>
      </c>
      <c r="C224" t="s">
        <v>445</v>
      </c>
    </row>
    <row r="225" spans="1:3" x14ac:dyDescent="0.25">
      <c r="A225" t="str">
        <f>"015D1P"</f>
        <v>015D1P</v>
      </c>
      <c r="B225" t="s">
        <v>446</v>
      </c>
      <c r="C225" t="s">
        <v>447</v>
      </c>
    </row>
    <row r="226" spans="1:3" x14ac:dyDescent="0.25">
      <c r="A226" t="str">
        <f>"015D2 "</f>
        <v xml:space="preserve">015D2 </v>
      </c>
      <c r="B226" t="s">
        <v>448</v>
      </c>
      <c r="C226" t="s">
        <v>449</v>
      </c>
    </row>
    <row r="227" spans="1:3" x14ac:dyDescent="0.25">
      <c r="A227" t="str">
        <f>"015D3 "</f>
        <v xml:space="preserve">015D3 </v>
      </c>
      <c r="B227" t="s">
        <v>450</v>
      </c>
      <c r="C227" t="s">
        <v>451</v>
      </c>
    </row>
    <row r="228" spans="1:3" x14ac:dyDescent="0.25">
      <c r="A228" t="str">
        <f>"01601 "</f>
        <v xml:space="preserve">01601 </v>
      </c>
      <c r="B228" t="s">
        <v>452</v>
      </c>
      <c r="C228" t="s">
        <v>453</v>
      </c>
    </row>
    <row r="229" spans="1:3" x14ac:dyDescent="0.25">
      <c r="A229" t="str">
        <f>"01621 "</f>
        <v xml:space="preserve">01621 </v>
      </c>
      <c r="B229" t="s">
        <v>454</v>
      </c>
      <c r="C229" t="s">
        <v>455</v>
      </c>
    </row>
    <row r="230" spans="1:3" x14ac:dyDescent="0.25">
      <c r="A230" t="str">
        <f>"01631 "</f>
        <v xml:space="preserve">01631 </v>
      </c>
      <c r="B230" t="s">
        <v>456</v>
      </c>
      <c r="C230" t="s">
        <v>457</v>
      </c>
    </row>
    <row r="231" spans="1:3" x14ac:dyDescent="0.25">
      <c r="A231" t="str">
        <f>"016310"</f>
        <v>016310</v>
      </c>
      <c r="B231" t="s">
        <v>458</v>
      </c>
      <c r="C231" t="s">
        <v>459</v>
      </c>
    </row>
    <row r="232" spans="1:3" x14ac:dyDescent="0.25">
      <c r="A232" t="str">
        <f>"016311"</f>
        <v>016311</v>
      </c>
      <c r="B232" t="s">
        <v>460</v>
      </c>
      <c r="C232" t="s">
        <v>461</v>
      </c>
    </row>
    <row r="233" spans="1:3" x14ac:dyDescent="0.25">
      <c r="A233" t="str">
        <f>"016312"</f>
        <v>016312</v>
      </c>
      <c r="B233" t="s">
        <v>462</v>
      </c>
      <c r="C233" t="s">
        <v>463</v>
      </c>
    </row>
    <row r="234" spans="1:3" x14ac:dyDescent="0.25">
      <c r="A234" t="str">
        <f>"016313"</f>
        <v>016313</v>
      </c>
      <c r="B234" t="s">
        <v>464</v>
      </c>
      <c r="C234" t="s">
        <v>465</v>
      </c>
    </row>
    <row r="235" spans="1:3" x14ac:dyDescent="0.25">
      <c r="A235" t="str">
        <f>"016314"</f>
        <v>016314</v>
      </c>
      <c r="B235" t="s">
        <v>466</v>
      </c>
      <c r="C235" t="s">
        <v>467</v>
      </c>
    </row>
    <row r="236" spans="1:3" x14ac:dyDescent="0.25">
      <c r="A236" t="str">
        <f>"016315"</f>
        <v>016315</v>
      </c>
      <c r="B236" t="s">
        <v>468</v>
      </c>
      <c r="C236" t="s">
        <v>469</v>
      </c>
    </row>
    <row r="237" spans="1:3" x14ac:dyDescent="0.25">
      <c r="A237" t="str">
        <f>"016316"</f>
        <v>016316</v>
      </c>
      <c r="B237" t="s">
        <v>470</v>
      </c>
      <c r="C237" t="s">
        <v>471</v>
      </c>
    </row>
    <row r="238" spans="1:3" x14ac:dyDescent="0.25">
      <c r="A238" t="str">
        <f>"016317"</f>
        <v>016317</v>
      </c>
      <c r="B238" t="s">
        <v>472</v>
      </c>
      <c r="C238" t="s">
        <v>473</v>
      </c>
    </row>
    <row r="239" spans="1:3" x14ac:dyDescent="0.25">
      <c r="A239" t="str">
        <f>"016318"</f>
        <v>016318</v>
      </c>
      <c r="B239" t="s">
        <v>474</v>
      </c>
      <c r="C239" t="s">
        <v>475</v>
      </c>
    </row>
    <row r="240" spans="1:3" x14ac:dyDescent="0.25">
      <c r="A240" t="str">
        <f>"016319"</f>
        <v>016319</v>
      </c>
      <c r="B240" t="s">
        <v>476</v>
      </c>
      <c r="C240" t="s">
        <v>477</v>
      </c>
    </row>
    <row r="241" spans="1:3" x14ac:dyDescent="0.25">
      <c r="A241" t="str">
        <f>"01632 "</f>
        <v xml:space="preserve">01632 </v>
      </c>
      <c r="B241" t="s">
        <v>478</v>
      </c>
      <c r="C241" t="s">
        <v>479</v>
      </c>
    </row>
    <row r="242" spans="1:3" x14ac:dyDescent="0.25">
      <c r="A242" t="str">
        <f>"016320"</f>
        <v>016320</v>
      </c>
      <c r="B242" t="s">
        <v>480</v>
      </c>
      <c r="C242" t="s">
        <v>481</v>
      </c>
    </row>
    <row r="243" spans="1:3" x14ac:dyDescent="0.25">
      <c r="A243" t="str">
        <f>"016321"</f>
        <v>016321</v>
      </c>
      <c r="B243" t="s">
        <v>482</v>
      </c>
      <c r="C243" t="s">
        <v>483</v>
      </c>
    </row>
    <row r="244" spans="1:3" x14ac:dyDescent="0.25">
      <c r="A244" t="str">
        <f>"01632R"</f>
        <v>01632R</v>
      </c>
      <c r="B244" t="s">
        <v>484</v>
      </c>
      <c r="C244" t="s">
        <v>485</v>
      </c>
    </row>
    <row r="245" spans="1:3" x14ac:dyDescent="0.25">
      <c r="A245" t="str">
        <f>"01633 "</f>
        <v xml:space="preserve">01633 </v>
      </c>
      <c r="B245" t="s">
        <v>486</v>
      </c>
      <c r="C245" t="s">
        <v>487</v>
      </c>
    </row>
    <row r="246" spans="1:3" x14ac:dyDescent="0.25">
      <c r="A246" t="str">
        <f>"01634 "</f>
        <v xml:space="preserve">01634 </v>
      </c>
      <c r="B246" t="s">
        <v>488</v>
      </c>
      <c r="C246" t="s">
        <v>489</v>
      </c>
    </row>
    <row r="247" spans="1:3" x14ac:dyDescent="0.25">
      <c r="A247" t="str">
        <f>"01635 "</f>
        <v xml:space="preserve">01635 </v>
      </c>
      <c r="B247" t="s">
        <v>490</v>
      </c>
      <c r="C247" t="s">
        <v>491</v>
      </c>
    </row>
    <row r="248" spans="1:3" x14ac:dyDescent="0.25">
      <c r="A248" t="str">
        <f>"01636 "</f>
        <v xml:space="preserve">01636 </v>
      </c>
      <c r="B248" t="s">
        <v>492</v>
      </c>
      <c r="C248" t="s">
        <v>493</v>
      </c>
    </row>
    <row r="249" spans="1:3" x14ac:dyDescent="0.25">
      <c r="A249" t="str">
        <f>"01637 "</f>
        <v xml:space="preserve">01637 </v>
      </c>
      <c r="B249" t="s">
        <v>494</v>
      </c>
      <c r="C249" t="s">
        <v>495</v>
      </c>
    </row>
    <row r="250" spans="1:3" x14ac:dyDescent="0.25">
      <c r="A250" t="str">
        <f>"01638 "</f>
        <v xml:space="preserve">01638 </v>
      </c>
      <c r="B250" t="s">
        <v>496</v>
      </c>
      <c r="C250" t="s">
        <v>497</v>
      </c>
    </row>
    <row r="251" spans="1:3" x14ac:dyDescent="0.25">
      <c r="A251" t="str">
        <f>"01639 "</f>
        <v xml:space="preserve">01639 </v>
      </c>
      <c r="B251" t="s">
        <v>498</v>
      </c>
      <c r="C251" t="s">
        <v>499</v>
      </c>
    </row>
    <row r="252" spans="1:3" x14ac:dyDescent="0.25">
      <c r="A252" t="str">
        <f>"0163A8"</f>
        <v>0163A8</v>
      </c>
      <c r="B252" t="s">
        <v>500</v>
      </c>
      <c r="C252" t="s">
        <v>501</v>
      </c>
    </row>
    <row r="253" spans="1:3" x14ac:dyDescent="0.25">
      <c r="A253" t="str">
        <f>"0163AC"</f>
        <v>0163AC</v>
      </c>
      <c r="B253" t="s">
        <v>502</v>
      </c>
      <c r="C253" t="s">
        <v>503</v>
      </c>
    </row>
    <row r="254" spans="1:3" x14ac:dyDescent="0.25">
      <c r="A254" t="str">
        <f>"0163M1"</f>
        <v>0163M1</v>
      </c>
      <c r="B254" t="s">
        <v>504</v>
      </c>
      <c r="C254" t="s">
        <v>505</v>
      </c>
    </row>
    <row r="255" spans="1:3" x14ac:dyDescent="0.25">
      <c r="A255" t="str">
        <f>"0163P "</f>
        <v xml:space="preserve">0163P </v>
      </c>
      <c r="B255" t="s">
        <v>506</v>
      </c>
      <c r="C255" t="s">
        <v>507</v>
      </c>
    </row>
    <row r="256" spans="1:3" x14ac:dyDescent="0.25">
      <c r="A256" t="str">
        <f>"0163T1"</f>
        <v>0163T1</v>
      </c>
      <c r="B256" t="s">
        <v>508</v>
      </c>
      <c r="C256" t="s">
        <v>509</v>
      </c>
    </row>
    <row r="257" spans="1:3" x14ac:dyDescent="0.25">
      <c r="A257" t="str">
        <f>"0163T2"</f>
        <v>0163T2</v>
      </c>
      <c r="B257" t="s">
        <v>510</v>
      </c>
      <c r="C257" t="s">
        <v>511</v>
      </c>
    </row>
    <row r="258" spans="1:3" x14ac:dyDescent="0.25">
      <c r="A258" t="str">
        <f>"01641 "</f>
        <v xml:space="preserve">01641 </v>
      </c>
      <c r="B258" t="s">
        <v>512</v>
      </c>
      <c r="C258" t="s">
        <v>513</v>
      </c>
    </row>
    <row r="259" spans="1:3" x14ac:dyDescent="0.25">
      <c r="A259" t="str">
        <f>"01651 "</f>
        <v xml:space="preserve">01651 </v>
      </c>
      <c r="B259" t="s">
        <v>514</v>
      </c>
      <c r="C259" t="s">
        <v>515</v>
      </c>
    </row>
    <row r="260" spans="1:3" x14ac:dyDescent="0.25">
      <c r="A260" t="str">
        <f>"01651P"</f>
        <v>01651P</v>
      </c>
      <c r="B260" t="s">
        <v>516</v>
      </c>
      <c r="C260" t="s">
        <v>517</v>
      </c>
    </row>
    <row r="261" spans="1:3" x14ac:dyDescent="0.25">
      <c r="A261" t="str">
        <f>"01701 "</f>
        <v xml:space="preserve">01701 </v>
      </c>
      <c r="B261" t="s">
        <v>518</v>
      </c>
      <c r="C261" t="s">
        <v>519</v>
      </c>
    </row>
    <row r="262" spans="1:3" x14ac:dyDescent="0.25">
      <c r="A262" t="str">
        <f>"017011"</f>
        <v>017011</v>
      </c>
      <c r="B262" t="s">
        <v>520</v>
      </c>
      <c r="C262" t="s">
        <v>521</v>
      </c>
    </row>
    <row r="263" spans="1:3" x14ac:dyDescent="0.25">
      <c r="A263" t="str">
        <f>"01702 "</f>
        <v xml:space="preserve">01702 </v>
      </c>
      <c r="B263" t="s">
        <v>522</v>
      </c>
      <c r="C263" t="s">
        <v>523</v>
      </c>
    </row>
    <row r="264" spans="1:3" x14ac:dyDescent="0.25">
      <c r="A264" t="str">
        <f>"01702R"</f>
        <v>01702R</v>
      </c>
      <c r="B264" t="s">
        <v>524</v>
      </c>
      <c r="C264" t="s">
        <v>525</v>
      </c>
    </row>
    <row r="265" spans="1:3" x14ac:dyDescent="0.25">
      <c r="A265" t="str">
        <f>"01703 "</f>
        <v xml:space="preserve">01703 </v>
      </c>
      <c r="B265" t="s">
        <v>526</v>
      </c>
      <c r="C265" t="s">
        <v>527</v>
      </c>
    </row>
    <row r="266" spans="1:3" x14ac:dyDescent="0.25">
      <c r="A266" t="str">
        <f>"01704 "</f>
        <v xml:space="preserve">01704 </v>
      </c>
      <c r="B266" t="s">
        <v>528</v>
      </c>
      <c r="C266" t="s">
        <v>529</v>
      </c>
    </row>
    <row r="267" spans="1:3" x14ac:dyDescent="0.25">
      <c r="A267" t="str">
        <f>"01705 "</f>
        <v xml:space="preserve">01705 </v>
      </c>
      <c r="B267" t="s">
        <v>530</v>
      </c>
      <c r="C267" t="s">
        <v>531</v>
      </c>
    </row>
    <row r="268" spans="1:3" x14ac:dyDescent="0.25">
      <c r="A268" t="str">
        <f>"01706 "</f>
        <v xml:space="preserve">01706 </v>
      </c>
      <c r="B268" t="s">
        <v>532</v>
      </c>
      <c r="C268" t="s">
        <v>533</v>
      </c>
    </row>
    <row r="269" spans="1:3" x14ac:dyDescent="0.25">
      <c r="A269" t="str">
        <f>"01707 "</f>
        <v xml:space="preserve">01707 </v>
      </c>
      <c r="B269" t="s">
        <v>534</v>
      </c>
      <c r="C269" t="s">
        <v>535</v>
      </c>
    </row>
    <row r="270" spans="1:3" x14ac:dyDescent="0.25">
      <c r="A270" t="str">
        <f>"01708 "</f>
        <v xml:space="preserve">01708 </v>
      </c>
      <c r="B270" t="s">
        <v>536</v>
      </c>
      <c r="C270" t="s">
        <v>537</v>
      </c>
    </row>
    <row r="271" spans="1:3" x14ac:dyDescent="0.25">
      <c r="A271" t="str">
        <f>"0170M1"</f>
        <v>0170M1</v>
      </c>
      <c r="B271" t="s">
        <v>538</v>
      </c>
      <c r="C271" t="s">
        <v>539</v>
      </c>
    </row>
    <row r="272" spans="1:3" x14ac:dyDescent="0.25">
      <c r="A272" t="str">
        <f>"0170P "</f>
        <v xml:space="preserve">0170P </v>
      </c>
      <c r="B272" t="s">
        <v>540</v>
      </c>
      <c r="C272" t="s">
        <v>541</v>
      </c>
    </row>
    <row r="273" spans="1:3" x14ac:dyDescent="0.25">
      <c r="A273" t="str">
        <f>"0170T1"</f>
        <v>0170T1</v>
      </c>
      <c r="B273" t="s">
        <v>542</v>
      </c>
      <c r="C273" t="s">
        <v>543</v>
      </c>
    </row>
    <row r="274" spans="1:3" x14ac:dyDescent="0.25">
      <c r="A274" t="str">
        <f>"0170T2"</f>
        <v>0170T2</v>
      </c>
      <c r="B274" t="s">
        <v>544</v>
      </c>
      <c r="C274" t="s">
        <v>545</v>
      </c>
    </row>
    <row r="275" spans="1:3" x14ac:dyDescent="0.25">
      <c r="A275" t="str">
        <f>"01801 "</f>
        <v xml:space="preserve">01801 </v>
      </c>
      <c r="B275" t="s">
        <v>546</v>
      </c>
      <c r="C275" t="s">
        <v>547</v>
      </c>
    </row>
    <row r="276" spans="1:3" x14ac:dyDescent="0.25">
      <c r="A276" t="str">
        <f>"01802 "</f>
        <v xml:space="preserve">01802 </v>
      </c>
      <c r="B276" t="s">
        <v>548</v>
      </c>
      <c r="C276" t="s">
        <v>549</v>
      </c>
    </row>
    <row r="277" spans="1:3" x14ac:dyDescent="0.25">
      <c r="A277" t="str">
        <f>"01821 "</f>
        <v xml:space="preserve">01821 </v>
      </c>
      <c r="B277" t="s">
        <v>550</v>
      </c>
      <c r="C277" t="s">
        <v>551</v>
      </c>
    </row>
    <row r="278" spans="1:3" x14ac:dyDescent="0.25">
      <c r="A278" t="str">
        <f>"018211"</f>
        <v>018211</v>
      </c>
      <c r="B278" t="s">
        <v>552</v>
      </c>
      <c r="C278" t="s">
        <v>553</v>
      </c>
    </row>
    <row r="279" spans="1:3" x14ac:dyDescent="0.25">
      <c r="A279" t="str">
        <f>"018212"</f>
        <v>018212</v>
      </c>
      <c r="B279" t="s">
        <v>554</v>
      </c>
      <c r="C279" t="s">
        <v>555</v>
      </c>
    </row>
    <row r="280" spans="1:3" x14ac:dyDescent="0.25">
      <c r="A280" t="str">
        <f>"018213"</f>
        <v>018213</v>
      </c>
      <c r="B280" t="s">
        <v>556</v>
      </c>
      <c r="C280" t="s">
        <v>557</v>
      </c>
    </row>
    <row r="281" spans="1:3" x14ac:dyDescent="0.25">
      <c r="A281" t="str">
        <f>"018214"</f>
        <v>018214</v>
      </c>
      <c r="B281" t="s">
        <v>558</v>
      </c>
      <c r="C281" t="s">
        <v>559</v>
      </c>
    </row>
    <row r="282" spans="1:3" x14ac:dyDescent="0.25">
      <c r="A282" t="str">
        <f>"018215"</f>
        <v>018215</v>
      </c>
      <c r="B282" t="s">
        <v>560</v>
      </c>
      <c r="C282" t="s">
        <v>561</v>
      </c>
    </row>
    <row r="283" spans="1:3" x14ac:dyDescent="0.25">
      <c r="A283" t="str">
        <f>"018216"</f>
        <v>018216</v>
      </c>
      <c r="B283" t="s">
        <v>562</v>
      </c>
      <c r="C283" t="s">
        <v>563</v>
      </c>
    </row>
    <row r="284" spans="1:3" x14ac:dyDescent="0.25">
      <c r="A284" t="str">
        <f>"018217"</f>
        <v>018217</v>
      </c>
      <c r="B284" t="s">
        <v>564</v>
      </c>
      <c r="C284" t="s">
        <v>565</v>
      </c>
    </row>
    <row r="285" spans="1:3" x14ac:dyDescent="0.25">
      <c r="A285" t="str">
        <f>"018218"</f>
        <v>018218</v>
      </c>
      <c r="B285" t="s">
        <v>566</v>
      </c>
      <c r="C285" t="s">
        <v>567</v>
      </c>
    </row>
    <row r="286" spans="1:3" x14ac:dyDescent="0.25">
      <c r="A286" t="str">
        <f>"018219"</f>
        <v>018219</v>
      </c>
      <c r="B286" t="s">
        <v>568</v>
      </c>
      <c r="C286" t="s">
        <v>569</v>
      </c>
    </row>
    <row r="287" spans="1:3" x14ac:dyDescent="0.25">
      <c r="A287" t="str">
        <f>"01822 "</f>
        <v xml:space="preserve">01822 </v>
      </c>
      <c r="B287" t="s">
        <v>570</v>
      </c>
      <c r="C287" t="s">
        <v>571</v>
      </c>
    </row>
    <row r="288" spans="1:3" x14ac:dyDescent="0.25">
      <c r="A288" t="str">
        <f>"018220"</f>
        <v>018220</v>
      </c>
      <c r="B288" t="s">
        <v>572</v>
      </c>
      <c r="C288" t="s">
        <v>573</v>
      </c>
    </row>
    <row r="289" spans="1:3" x14ac:dyDescent="0.25">
      <c r="A289" t="str">
        <f>"018221"</f>
        <v>018221</v>
      </c>
      <c r="B289" t="s">
        <v>574</v>
      </c>
      <c r="C289" t="s">
        <v>575</v>
      </c>
    </row>
    <row r="290" spans="1:3" x14ac:dyDescent="0.25">
      <c r="A290" t="str">
        <f>"018222"</f>
        <v>018222</v>
      </c>
      <c r="B290" t="s">
        <v>576</v>
      </c>
      <c r="C290" t="s">
        <v>577</v>
      </c>
    </row>
    <row r="291" spans="1:3" x14ac:dyDescent="0.25">
      <c r="A291" t="str">
        <f>"018225"</f>
        <v>018225</v>
      </c>
      <c r="B291" t="s">
        <v>578</v>
      </c>
      <c r="C291" t="s">
        <v>579</v>
      </c>
    </row>
    <row r="292" spans="1:3" x14ac:dyDescent="0.25">
      <c r="A292" t="str">
        <f>"018226"</f>
        <v>018226</v>
      </c>
      <c r="B292" t="s">
        <v>580</v>
      </c>
      <c r="C292" t="s">
        <v>581</v>
      </c>
    </row>
    <row r="293" spans="1:3" x14ac:dyDescent="0.25">
      <c r="A293" t="str">
        <f>"018227"</f>
        <v>018227</v>
      </c>
      <c r="B293" t="s">
        <v>582</v>
      </c>
      <c r="C293" t="s">
        <v>583</v>
      </c>
    </row>
    <row r="294" spans="1:3" x14ac:dyDescent="0.25">
      <c r="A294" t="str">
        <f>"018228"</f>
        <v>018228</v>
      </c>
      <c r="B294" t="s">
        <v>584</v>
      </c>
      <c r="C294" t="s">
        <v>585</v>
      </c>
    </row>
    <row r="295" spans="1:3" x14ac:dyDescent="0.25">
      <c r="A295" t="str">
        <f>"018229"</f>
        <v>018229</v>
      </c>
      <c r="B295" t="s">
        <v>586</v>
      </c>
      <c r="C295" t="s">
        <v>587</v>
      </c>
    </row>
    <row r="296" spans="1:3" x14ac:dyDescent="0.25">
      <c r="A296" t="str">
        <f>"01823 "</f>
        <v xml:space="preserve">01823 </v>
      </c>
      <c r="B296" t="s">
        <v>588</v>
      </c>
      <c r="C296" t="s">
        <v>589</v>
      </c>
    </row>
    <row r="297" spans="1:3" x14ac:dyDescent="0.25">
      <c r="A297" t="str">
        <f>"018230"</f>
        <v>018230</v>
      </c>
      <c r="B297" t="s">
        <v>590</v>
      </c>
      <c r="C297" t="s">
        <v>591</v>
      </c>
    </row>
    <row r="298" spans="1:3" x14ac:dyDescent="0.25">
      <c r="A298" t="str">
        <f>"018231"</f>
        <v>018231</v>
      </c>
      <c r="B298" t="s">
        <v>592</v>
      </c>
      <c r="C298" t="s">
        <v>593</v>
      </c>
    </row>
    <row r="299" spans="1:3" x14ac:dyDescent="0.25">
      <c r="A299" t="str">
        <f>"018232"</f>
        <v>018232</v>
      </c>
      <c r="B299" t="s">
        <v>594</v>
      </c>
      <c r="C299" t="s">
        <v>595</v>
      </c>
    </row>
    <row r="300" spans="1:3" x14ac:dyDescent="0.25">
      <c r="A300" t="str">
        <f>"018233"</f>
        <v>018233</v>
      </c>
      <c r="B300" t="s">
        <v>596</v>
      </c>
      <c r="C300" t="s">
        <v>597</v>
      </c>
    </row>
    <row r="301" spans="1:3" x14ac:dyDescent="0.25">
      <c r="A301" t="str">
        <f>"018234"</f>
        <v>018234</v>
      </c>
      <c r="B301" t="s">
        <v>598</v>
      </c>
      <c r="C301" t="s">
        <v>599</v>
      </c>
    </row>
    <row r="302" spans="1:3" x14ac:dyDescent="0.25">
      <c r="A302" t="str">
        <f>"018235"</f>
        <v>018235</v>
      </c>
      <c r="B302" t="s">
        <v>600</v>
      </c>
      <c r="C302" t="s">
        <v>601</v>
      </c>
    </row>
    <row r="303" spans="1:3" x14ac:dyDescent="0.25">
      <c r="A303" t="str">
        <f>"018236"</f>
        <v>018236</v>
      </c>
      <c r="B303" t="s">
        <v>602</v>
      </c>
      <c r="C303" t="s">
        <v>603</v>
      </c>
    </row>
    <row r="304" spans="1:3" x14ac:dyDescent="0.25">
      <c r="A304" t="str">
        <f>"018237"</f>
        <v>018237</v>
      </c>
      <c r="B304" t="s">
        <v>604</v>
      </c>
      <c r="C304" t="s">
        <v>605</v>
      </c>
    </row>
    <row r="305" spans="1:3" x14ac:dyDescent="0.25">
      <c r="A305" t="str">
        <f>"018238"</f>
        <v>018238</v>
      </c>
      <c r="B305" t="s">
        <v>606</v>
      </c>
      <c r="C305" t="s">
        <v>607</v>
      </c>
    </row>
    <row r="306" spans="1:3" x14ac:dyDescent="0.25">
      <c r="A306" t="str">
        <f>"018239"</f>
        <v>018239</v>
      </c>
      <c r="B306" t="s">
        <v>608</v>
      </c>
      <c r="C306" t="s">
        <v>609</v>
      </c>
    </row>
    <row r="307" spans="1:3" x14ac:dyDescent="0.25">
      <c r="A307" t="str">
        <f>"01824 "</f>
        <v xml:space="preserve">01824 </v>
      </c>
      <c r="B307" t="s">
        <v>610</v>
      </c>
      <c r="C307" t="s">
        <v>611</v>
      </c>
    </row>
    <row r="308" spans="1:3" x14ac:dyDescent="0.25">
      <c r="A308" t="str">
        <f>"018240"</f>
        <v>018240</v>
      </c>
      <c r="B308" t="s">
        <v>612</v>
      </c>
      <c r="C308" t="s">
        <v>613</v>
      </c>
    </row>
    <row r="309" spans="1:3" x14ac:dyDescent="0.25">
      <c r="A309" t="str">
        <f>"018241"</f>
        <v>018241</v>
      </c>
      <c r="B309" t="s">
        <v>614</v>
      </c>
      <c r="C309" t="s">
        <v>615</v>
      </c>
    </row>
    <row r="310" spans="1:3" x14ac:dyDescent="0.25">
      <c r="A310" t="str">
        <f>"018242"</f>
        <v>018242</v>
      </c>
      <c r="B310" t="s">
        <v>616</v>
      </c>
      <c r="C310" t="s">
        <v>617</v>
      </c>
    </row>
    <row r="311" spans="1:3" x14ac:dyDescent="0.25">
      <c r="A311" t="str">
        <f>"018243"</f>
        <v>018243</v>
      </c>
      <c r="B311" t="s">
        <v>618</v>
      </c>
      <c r="C311" t="s">
        <v>619</v>
      </c>
    </row>
    <row r="312" spans="1:3" x14ac:dyDescent="0.25">
      <c r="A312" t="str">
        <f>"018244"</f>
        <v>018244</v>
      </c>
      <c r="B312" t="s">
        <v>620</v>
      </c>
      <c r="C312" t="s">
        <v>621</v>
      </c>
    </row>
    <row r="313" spans="1:3" x14ac:dyDescent="0.25">
      <c r="A313" t="str">
        <f>"018245"</f>
        <v>018245</v>
      </c>
      <c r="B313" t="s">
        <v>622</v>
      </c>
      <c r="C313" t="s">
        <v>623</v>
      </c>
    </row>
    <row r="314" spans="1:3" x14ac:dyDescent="0.25">
      <c r="A314" t="str">
        <f>"018246"</f>
        <v>018246</v>
      </c>
      <c r="B314" t="s">
        <v>624</v>
      </c>
      <c r="C314" t="s">
        <v>625</v>
      </c>
    </row>
    <row r="315" spans="1:3" x14ac:dyDescent="0.25">
      <c r="A315" t="str">
        <f>"018247"</f>
        <v>018247</v>
      </c>
      <c r="B315" t="s">
        <v>626</v>
      </c>
      <c r="C315" t="s">
        <v>627</v>
      </c>
    </row>
    <row r="316" spans="1:3" x14ac:dyDescent="0.25">
      <c r="A316" t="str">
        <f>"018248"</f>
        <v>018248</v>
      </c>
      <c r="B316" t="s">
        <v>628</v>
      </c>
      <c r="C316" t="s">
        <v>629</v>
      </c>
    </row>
    <row r="317" spans="1:3" x14ac:dyDescent="0.25">
      <c r="A317" t="str">
        <f>"018249"</f>
        <v>018249</v>
      </c>
      <c r="B317" t="s">
        <v>630</v>
      </c>
      <c r="C317" t="s">
        <v>631</v>
      </c>
    </row>
    <row r="318" spans="1:3" x14ac:dyDescent="0.25">
      <c r="A318" t="str">
        <f>"01825 "</f>
        <v xml:space="preserve">01825 </v>
      </c>
      <c r="B318" t="s">
        <v>632</v>
      </c>
      <c r="C318" t="s">
        <v>633</v>
      </c>
    </row>
    <row r="319" spans="1:3" x14ac:dyDescent="0.25">
      <c r="A319" t="str">
        <f>"018250"</f>
        <v>018250</v>
      </c>
      <c r="B319" t="s">
        <v>634</v>
      </c>
      <c r="C319" t="s">
        <v>635</v>
      </c>
    </row>
    <row r="320" spans="1:3" x14ac:dyDescent="0.25">
      <c r="A320" t="str">
        <f>"018251"</f>
        <v>018251</v>
      </c>
      <c r="B320" t="s">
        <v>636</v>
      </c>
      <c r="C320" t="s">
        <v>637</v>
      </c>
    </row>
    <row r="321" spans="1:3" x14ac:dyDescent="0.25">
      <c r="A321" t="str">
        <f>"01826 "</f>
        <v xml:space="preserve">01826 </v>
      </c>
      <c r="B321" t="s">
        <v>638</v>
      </c>
      <c r="C321" t="s">
        <v>639</v>
      </c>
    </row>
    <row r="322" spans="1:3" x14ac:dyDescent="0.25">
      <c r="A322" t="str">
        <f>"01827 "</f>
        <v xml:space="preserve">01827 </v>
      </c>
      <c r="B322" t="s">
        <v>640</v>
      </c>
      <c r="C322" t="s">
        <v>641</v>
      </c>
    </row>
    <row r="323" spans="1:3" x14ac:dyDescent="0.25">
      <c r="A323" t="str">
        <f>"01828 "</f>
        <v xml:space="preserve">01828 </v>
      </c>
      <c r="B323" t="s">
        <v>642</v>
      </c>
      <c r="C323" t="s">
        <v>643</v>
      </c>
    </row>
    <row r="324" spans="1:3" x14ac:dyDescent="0.25">
      <c r="A324" t="str">
        <f>"01829 "</f>
        <v xml:space="preserve">01829 </v>
      </c>
      <c r="B324" t="s">
        <v>644</v>
      </c>
      <c r="C324" t="s">
        <v>645</v>
      </c>
    </row>
    <row r="325" spans="1:3" x14ac:dyDescent="0.25">
      <c r="A325" t="str">
        <f>"01831 "</f>
        <v xml:space="preserve">01831 </v>
      </c>
      <c r="B325" t="s">
        <v>646</v>
      </c>
      <c r="C325" t="s">
        <v>647</v>
      </c>
    </row>
    <row r="326" spans="1:3" x14ac:dyDescent="0.25">
      <c r="A326" t="str">
        <f>"018311"</f>
        <v>018311</v>
      </c>
      <c r="B326" t="s">
        <v>648</v>
      </c>
      <c r="C326" t="s">
        <v>649</v>
      </c>
    </row>
    <row r="327" spans="1:3" x14ac:dyDescent="0.25">
      <c r="A327" t="str">
        <f>"018312"</f>
        <v>018312</v>
      </c>
      <c r="B327" t="s">
        <v>650</v>
      </c>
      <c r="C327" t="s">
        <v>651</v>
      </c>
    </row>
    <row r="328" spans="1:3" x14ac:dyDescent="0.25">
      <c r="A328" t="str">
        <f>"018313"</f>
        <v>018313</v>
      </c>
      <c r="B328" t="s">
        <v>652</v>
      </c>
      <c r="C328" t="s">
        <v>653</v>
      </c>
    </row>
    <row r="329" spans="1:3" x14ac:dyDescent="0.25">
      <c r="A329" t="str">
        <f>"018314"</f>
        <v>018314</v>
      </c>
      <c r="B329" t="s">
        <v>654</v>
      </c>
      <c r="C329" t="s">
        <v>655</v>
      </c>
    </row>
    <row r="330" spans="1:3" x14ac:dyDescent="0.25">
      <c r="A330" t="str">
        <f>"018315"</f>
        <v>018315</v>
      </c>
      <c r="B330" t="s">
        <v>656</v>
      </c>
      <c r="C330" t="s">
        <v>657</v>
      </c>
    </row>
    <row r="331" spans="1:3" x14ac:dyDescent="0.25">
      <c r="A331" t="str">
        <f>"018316"</f>
        <v>018316</v>
      </c>
      <c r="B331" t="s">
        <v>658</v>
      </c>
      <c r="C331" t="s">
        <v>659</v>
      </c>
    </row>
    <row r="332" spans="1:3" x14ac:dyDescent="0.25">
      <c r="A332" t="str">
        <f>"018317"</f>
        <v>018317</v>
      </c>
      <c r="B332" t="s">
        <v>660</v>
      </c>
      <c r="C332" t="s">
        <v>661</v>
      </c>
    </row>
    <row r="333" spans="1:3" x14ac:dyDescent="0.25">
      <c r="A333" t="str">
        <f>"018318"</f>
        <v>018318</v>
      </c>
      <c r="B333" t="s">
        <v>662</v>
      </c>
      <c r="C333" t="s">
        <v>663</v>
      </c>
    </row>
    <row r="334" spans="1:3" x14ac:dyDescent="0.25">
      <c r="A334" t="str">
        <f>"018319"</f>
        <v>018319</v>
      </c>
      <c r="B334" t="s">
        <v>664</v>
      </c>
      <c r="C334" t="s">
        <v>665</v>
      </c>
    </row>
    <row r="335" spans="1:3" x14ac:dyDescent="0.25">
      <c r="A335" t="str">
        <f>"01832 "</f>
        <v xml:space="preserve">01832 </v>
      </c>
      <c r="B335" t="s">
        <v>666</v>
      </c>
      <c r="C335" t="s">
        <v>667</v>
      </c>
    </row>
    <row r="336" spans="1:3" x14ac:dyDescent="0.25">
      <c r="A336" t="str">
        <f>"018320"</f>
        <v>018320</v>
      </c>
      <c r="B336" t="s">
        <v>668</v>
      </c>
      <c r="C336" t="s">
        <v>669</v>
      </c>
    </row>
    <row r="337" spans="1:3" x14ac:dyDescent="0.25">
      <c r="A337" t="str">
        <f>"018321"</f>
        <v>018321</v>
      </c>
      <c r="B337" t="s">
        <v>670</v>
      </c>
      <c r="C337" t="s">
        <v>671</v>
      </c>
    </row>
    <row r="338" spans="1:3" x14ac:dyDescent="0.25">
      <c r="A338" t="str">
        <f>"018322"</f>
        <v>018322</v>
      </c>
      <c r="B338" t="s">
        <v>672</v>
      </c>
      <c r="C338" t="s">
        <v>673</v>
      </c>
    </row>
    <row r="339" spans="1:3" x14ac:dyDescent="0.25">
      <c r="A339" t="str">
        <f>"018323"</f>
        <v>018323</v>
      </c>
      <c r="B339" t="s">
        <v>674</v>
      </c>
      <c r="C339" t="s">
        <v>675</v>
      </c>
    </row>
    <row r="340" spans="1:3" x14ac:dyDescent="0.25">
      <c r="A340" t="str">
        <f>"018324"</f>
        <v>018324</v>
      </c>
      <c r="B340" t="s">
        <v>676</v>
      </c>
      <c r="C340" t="s">
        <v>677</v>
      </c>
    </row>
    <row r="341" spans="1:3" x14ac:dyDescent="0.25">
      <c r="A341" t="str">
        <f>"018325"</f>
        <v>018325</v>
      </c>
      <c r="B341" t="s">
        <v>678</v>
      </c>
      <c r="C341" t="s">
        <v>679</v>
      </c>
    </row>
    <row r="342" spans="1:3" x14ac:dyDescent="0.25">
      <c r="A342" t="str">
        <f>"018326"</f>
        <v>018326</v>
      </c>
      <c r="B342" t="s">
        <v>680</v>
      </c>
      <c r="C342" t="s">
        <v>681</v>
      </c>
    </row>
    <row r="343" spans="1:3" x14ac:dyDescent="0.25">
      <c r="A343" t="str">
        <f>"018327"</f>
        <v>018327</v>
      </c>
      <c r="B343" t="s">
        <v>682</v>
      </c>
      <c r="C343" t="s">
        <v>683</v>
      </c>
    </row>
    <row r="344" spans="1:3" x14ac:dyDescent="0.25">
      <c r="A344" t="str">
        <f>"018328"</f>
        <v>018328</v>
      </c>
      <c r="B344" t="s">
        <v>684</v>
      </c>
      <c r="C344" t="s">
        <v>685</v>
      </c>
    </row>
    <row r="345" spans="1:3" x14ac:dyDescent="0.25">
      <c r="A345" t="str">
        <f>"018329"</f>
        <v>018329</v>
      </c>
      <c r="B345" t="s">
        <v>686</v>
      </c>
      <c r="C345" t="s">
        <v>687</v>
      </c>
    </row>
    <row r="346" spans="1:3" x14ac:dyDescent="0.25">
      <c r="A346" t="str">
        <f>"01833 "</f>
        <v xml:space="preserve">01833 </v>
      </c>
      <c r="B346" t="s">
        <v>688</v>
      </c>
      <c r="C346" t="s">
        <v>689</v>
      </c>
    </row>
    <row r="347" spans="1:3" x14ac:dyDescent="0.25">
      <c r="A347" t="str">
        <f>"018330"</f>
        <v>018330</v>
      </c>
      <c r="B347" t="s">
        <v>690</v>
      </c>
      <c r="C347" t="s">
        <v>691</v>
      </c>
    </row>
    <row r="348" spans="1:3" x14ac:dyDescent="0.25">
      <c r="A348" t="str">
        <f>"018331"</f>
        <v>018331</v>
      </c>
      <c r="B348" t="s">
        <v>692</v>
      </c>
      <c r="C348" t="s">
        <v>693</v>
      </c>
    </row>
    <row r="349" spans="1:3" x14ac:dyDescent="0.25">
      <c r="A349" t="str">
        <f>"018332"</f>
        <v>018332</v>
      </c>
      <c r="B349" t="s">
        <v>694</v>
      </c>
      <c r="C349" t="s">
        <v>695</v>
      </c>
    </row>
    <row r="350" spans="1:3" x14ac:dyDescent="0.25">
      <c r="A350" t="str">
        <f>"018333"</f>
        <v>018333</v>
      </c>
      <c r="B350" t="s">
        <v>696</v>
      </c>
      <c r="C350" t="s">
        <v>697</v>
      </c>
    </row>
    <row r="351" spans="1:3" x14ac:dyDescent="0.25">
      <c r="A351" t="str">
        <f>"018334"</f>
        <v>018334</v>
      </c>
      <c r="B351" t="s">
        <v>698</v>
      </c>
      <c r="C351" t="s">
        <v>699</v>
      </c>
    </row>
    <row r="352" spans="1:3" x14ac:dyDescent="0.25">
      <c r="A352" t="str">
        <f>"018335"</f>
        <v>018335</v>
      </c>
      <c r="B352" t="s">
        <v>700</v>
      </c>
      <c r="C352" t="s">
        <v>701</v>
      </c>
    </row>
    <row r="353" spans="1:3" x14ac:dyDescent="0.25">
      <c r="A353" t="str">
        <f>"018336"</f>
        <v>018336</v>
      </c>
      <c r="B353" t="s">
        <v>702</v>
      </c>
      <c r="C353" t="s">
        <v>703</v>
      </c>
    </row>
    <row r="354" spans="1:3" x14ac:dyDescent="0.25">
      <c r="A354" t="str">
        <f>"018337"</f>
        <v>018337</v>
      </c>
      <c r="B354" t="s">
        <v>704</v>
      </c>
      <c r="C354" t="s">
        <v>705</v>
      </c>
    </row>
    <row r="355" spans="1:3" x14ac:dyDescent="0.25">
      <c r="A355" t="str">
        <f>"018338"</f>
        <v>018338</v>
      </c>
      <c r="B355" t="s">
        <v>706</v>
      </c>
      <c r="C355" t="s">
        <v>707</v>
      </c>
    </row>
    <row r="356" spans="1:3" x14ac:dyDescent="0.25">
      <c r="A356" t="str">
        <f>"018339"</f>
        <v>018339</v>
      </c>
      <c r="B356" t="s">
        <v>708</v>
      </c>
      <c r="C356" t="s">
        <v>709</v>
      </c>
    </row>
    <row r="357" spans="1:3" x14ac:dyDescent="0.25">
      <c r="A357" t="str">
        <f>"01834 "</f>
        <v xml:space="preserve">01834 </v>
      </c>
      <c r="B357" t="s">
        <v>710</v>
      </c>
      <c r="C357" t="s">
        <v>711</v>
      </c>
    </row>
    <row r="358" spans="1:3" x14ac:dyDescent="0.25">
      <c r="A358" t="str">
        <f>"01835 "</f>
        <v xml:space="preserve">01835 </v>
      </c>
      <c r="B358" t="s">
        <v>712</v>
      </c>
      <c r="C358" t="s">
        <v>713</v>
      </c>
    </row>
    <row r="359" spans="1:3" x14ac:dyDescent="0.25">
      <c r="A359" t="str">
        <f>"01836 "</f>
        <v xml:space="preserve">01836 </v>
      </c>
      <c r="B359" t="s">
        <v>714</v>
      </c>
      <c r="C359" t="s">
        <v>715</v>
      </c>
    </row>
    <row r="360" spans="1:3" x14ac:dyDescent="0.25">
      <c r="A360" t="str">
        <f>"01837 "</f>
        <v xml:space="preserve">01837 </v>
      </c>
      <c r="B360" t="s">
        <v>716</v>
      </c>
      <c r="C360" t="s">
        <v>717</v>
      </c>
    </row>
    <row r="361" spans="1:3" x14ac:dyDescent="0.25">
      <c r="A361" t="str">
        <f>"01838 "</f>
        <v xml:space="preserve">01838 </v>
      </c>
      <c r="B361" t="s">
        <v>718</v>
      </c>
      <c r="C361" t="s">
        <v>719</v>
      </c>
    </row>
    <row r="362" spans="1:3" x14ac:dyDescent="0.25">
      <c r="A362" t="str">
        <f>"01839 "</f>
        <v xml:space="preserve">01839 </v>
      </c>
      <c r="B362" t="s">
        <v>720</v>
      </c>
      <c r="C362" t="s">
        <v>721</v>
      </c>
    </row>
    <row r="363" spans="1:3" x14ac:dyDescent="0.25">
      <c r="A363" t="str">
        <f>"01841 "</f>
        <v xml:space="preserve">01841 </v>
      </c>
      <c r="B363" t="s">
        <v>722</v>
      </c>
      <c r="C363" t="s">
        <v>723</v>
      </c>
    </row>
    <row r="364" spans="1:3" x14ac:dyDescent="0.25">
      <c r="A364" t="str">
        <f>"018411"</f>
        <v>018411</v>
      </c>
      <c r="B364" t="s">
        <v>724</v>
      </c>
      <c r="C364" t="s">
        <v>725</v>
      </c>
    </row>
    <row r="365" spans="1:3" x14ac:dyDescent="0.25">
      <c r="A365" t="str">
        <f>"018412"</f>
        <v>018412</v>
      </c>
      <c r="B365" t="s">
        <v>726</v>
      </c>
      <c r="C365" t="s">
        <v>727</v>
      </c>
    </row>
    <row r="366" spans="1:3" x14ac:dyDescent="0.25">
      <c r="A366" t="str">
        <f>"018413"</f>
        <v>018413</v>
      </c>
      <c r="B366" t="s">
        <v>728</v>
      </c>
      <c r="C366" t="s">
        <v>729</v>
      </c>
    </row>
    <row r="367" spans="1:3" x14ac:dyDescent="0.25">
      <c r="A367" t="str">
        <f>"018414"</f>
        <v>018414</v>
      </c>
      <c r="B367" t="s">
        <v>730</v>
      </c>
      <c r="C367" t="s">
        <v>731</v>
      </c>
    </row>
    <row r="368" spans="1:3" x14ac:dyDescent="0.25">
      <c r="A368" t="str">
        <f>"018415"</f>
        <v>018415</v>
      </c>
      <c r="B368" t="s">
        <v>732</v>
      </c>
      <c r="C368" t="s">
        <v>733</v>
      </c>
    </row>
    <row r="369" spans="1:3" x14ac:dyDescent="0.25">
      <c r="A369" t="str">
        <f>"018416"</f>
        <v>018416</v>
      </c>
      <c r="B369" t="s">
        <v>734</v>
      </c>
      <c r="C369" t="s">
        <v>735</v>
      </c>
    </row>
    <row r="370" spans="1:3" x14ac:dyDescent="0.25">
      <c r="A370" t="str">
        <f>"018417"</f>
        <v>018417</v>
      </c>
      <c r="B370" t="s">
        <v>736</v>
      </c>
      <c r="C370" t="s">
        <v>737</v>
      </c>
    </row>
    <row r="371" spans="1:3" x14ac:dyDescent="0.25">
      <c r="A371" t="str">
        <f>"018418"</f>
        <v>018418</v>
      </c>
      <c r="B371" t="s">
        <v>738</v>
      </c>
      <c r="C371" t="s">
        <v>739</v>
      </c>
    </row>
    <row r="372" spans="1:3" x14ac:dyDescent="0.25">
      <c r="A372" t="str">
        <f>"018419"</f>
        <v>018419</v>
      </c>
      <c r="B372" t="s">
        <v>740</v>
      </c>
      <c r="C372" t="s">
        <v>733</v>
      </c>
    </row>
    <row r="373" spans="1:3" x14ac:dyDescent="0.25">
      <c r="A373" t="str">
        <f>"01842 "</f>
        <v xml:space="preserve">01842 </v>
      </c>
      <c r="B373" t="s">
        <v>741</v>
      </c>
      <c r="C373" t="s">
        <v>742</v>
      </c>
    </row>
    <row r="374" spans="1:3" x14ac:dyDescent="0.25">
      <c r="A374" t="str">
        <f>"018420"</f>
        <v>018420</v>
      </c>
      <c r="B374" t="s">
        <v>743</v>
      </c>
      <c r="C374" t="s">
        <v>744</v>
      </c>
    </row>
    <row r="375" spans="1:3" x14ac:dyDescent="0.25">
      <c r="A375" t="str">
        <f>"018421"</f>
        <v>018421</v>
      </c>
      <c r="B375" t="s">
        <v>745</v>
      </c>
      <c r="C375" t="s">
        <v>746</v>
      </c>
    </row>
    <row r="376" spans="1:3" x14ac:dyDescent="0.25">
      <c r="A376" t="str">
        <f>"018422"</f>
        <v>018422</v>
      </c>
      <c r="B376" t="s">
        <v>747</v>
      </c>
      <c r="C376" t="s">
        <v>748</v>
      </c>
    </row>
    <row r="377" spans="1:3" x14ac:dyDescent="0.25">
      <c r="A377" t="str">
        <f>"018423"</f>
        <v>018423</v>
      </c>
      <c r="B377" t="s">
        <v>749</v>
      </c>
      <c r="C377" t="s">
        <v>750</v>
      </c>
    </row>
    <row r="378" spans="1:3" x14ac:dyDescent="0.25">
      <c r="A378" t="str">
        <f>"018424"</f>
        <v>018424</v>
      </c>
      <c r="B378" t="s">
        <v>751</v>
      </c>
      <c r="C378" t="s">
        <v>752</v>
      </c>
    </row>
    <row r="379" spans="1:3" x14ac:dyDescent="0.25">
      <c r="A379" t="str">
        <f>"018425"</f>
        <v>018425</v>
      </c>
      <c r="B379" t="s">
        <v>753</v>
      </c>
      <c r="C379" t="s">
        <v>754</v>
      </c>
    </row>
    <row r="380" spans="1:3" x14ac:dyDescent="0.25">
      <c r="A380" t="str">
        <f>"018426"</f>
        <v>018426</v>
      </c>
      <c r="B380" t="s">
        <v>755</v>
      </c>
      <c r="C380" t="s">
        <v>756</v>
      </c>
    </row>
    <row r="381" spans="1:3" x14ac:dyDescent="0.25">
      <c r="A381" t="str">
        <f>"018427"</f>
        <v>018427</v>
      </c>
      <c r="B381" t="s">
        <v>757</v>
      </c>
      <c r="C381" t="s">
        <v>758</v>
      </c>
    </row>
    <row r="382" spans="1:3" x14ac:dyDescent="0.25">
      <c r="A382" t="str">
        <f>"018428"</f>
        <v>018428</v>
      </c>
      <c r="B382" t="s">
        <v>759</v>
      </c>
      <c r="C382" t="s">
        <v>760</v>
      </c>
    </row>
    <row r="383" spans="1:3" x14ac:dyDescent="0.25">
      <c r="A383" t="str">
        <f>"018429"</f>
        <v>018429</v>
      </c>
      <c r="B383" t="s">
        <v>761</v>
      </c>
      <c r="C383" t="s">
        <v>762</v>
      </c>
    </row>
    <row r="384" spans="1:3" x14ac:dyDescent="0.25">
      <c r="A384" t="str">
        <f>"01843 "</f>
        <v xml:space="preserve">01843 </v>
      </c>
      <c r="B384" t="s">
        <v>763</v>
      </c>
      <c r="C384" t="s">
        <v>764</v>
      </c>
    </row>
    <row r="385" spans="1:3" x14ac:dyDescent="0.25">
      <c r="A385" t="str">
        <f>"018430"</f>
        <v>018430</v>
      </c>
      <c r="B385" t="s">
        <v>765</v>
      </c>
      <c r="C385" t="s">
        <v>766</v>
      </c>
    </row>
    <row r="386" spans="1:3" x14ac:dyDescent="0.25">
      <c r="A386" t="str">
        <f>"018431"</f>
        <v>018431</v>
      </c>
      <c r="B386" t="s">
        <v>767</v>
      </c>
      <c r="C386" t="s">
        <v>768</v>
      </c>
    </row>
    <row r="387" spans="1:3" x14ac:dyDescent="0.25">
      <c r="A387" t="str">
        <f>"018432"</f>
        <v>018432</v>
      </c>
      <c r="B387" t="s">
        <v>769</v>
      </c>
      <c r="C387" t="s">
        <v>770</v>
      </c>
    </row>
    <row r="388" spans="1:3" x14ac:dyDescent="0.25">
      <c r="A388" t="str">
        <f>"018433"</f>
        <v>018433</v>
      </c>
      <c r="B388" t="s">
        <v>771</v>
      </c>
      <c r="C388" t="s">
        <v>772</v>
      </c>
    </row>
    <row r="389" spans="1:3" x14ac:dyDescent="0.25">
      <c r="A389" t="str">
        <f>"018434"</f>
        <v>018434</v>
      </c>
      <c r="B389" t="s">
        <v>773</v>
      </c>
      <c r="C389" t="s">
        <v>774</v>
      </c>
    </row>
    <row r="390" spans="1:3" x14ac:dyDescent="0.25">
      <c r="A390" t="str">
        <f>"018435"</f>
        <v>018435</v>
      </c>
      <c r="B390" t="s">
        <v>775</v>
      </c>
      <c r="C390" t="s">
        <v>776</v>
      </c>
    </row>
    <row r="391" spans="1:3" x14ac:dyDescent="0.25">
      <c r="A391" t="str">
        <f>"018436"</f>
        <v>018436</v>
      </c>
      <c r="B391" t="s">
        <v>777</v>
      </c>
      <c r="C391" t="s">
        <v>778</v>
      </c>
    </row>
    <row r="392" spans="1:3" x14ac:dyDescent="0.25">
      <c r="A392" t="str">
        <f>"018437"</f>
        <v>018437</v>
      </c>
      <c r="B392" t="s">
        <v>779</v>
      </c>
      <c r="C392" t="s">
        <v>780</v>
      </c>
    </row>
    <row r="393" spans="1:3" x14ac:dyDescent="0.25">
      <c r="A393" t="str">
        <f>"018438"</f>
        <v>018438</v>
      </c>
      <c r="B393" t="s">
        <v>781</v>
      </c>
      <c r="C393" t="s">
        <v>782</v>
      </c>
    </row>
    <row r="394" spans="1:3" x14ac:dyDescent="0.25">
      <c r="A394" t="str">
        <f>"018439"</f>
        <v>018439</v>
      </c>
      <c r="B394" t="s">
        <v>783</v>
      </c>
      <c r="C394" t="s">
        <v>784</v>
      </c>
    </row>
    <row r="395" spans="1:3" x14ac:dyDescent="0.25">
      <c r="A395" t="str">
        <f>"01844 "</f>
        <v xml:space="preserve">01844 </v>
      </c>
      <c r="B395" t="s">
        <v>785</v>
      </c>
      <c r="C395" t="s">
        <v>786</v>
      </c>
    </row>
    <row r="396" spans="1:3" x14ac:dyDescent="0.25">
      <c r="A396" t="str">
        <f>"018440"</f>
        <v>018440</v>
      </c>
      <c r="B396" t="s">
        <v>787</v>
      </c>
      <c r="C396" t="s">
        <v>788</v>
      </c>
    </row>
    <row r="397" spans="1:3" x14ac:dyDescent="0.25">
      <c r="A397" t="str">
        <f>"018441"</f>
        <v>018441</v>
      </c>
      <c r="B397" t="s">
        <v>789</v>
      </c>
      <c r="C397" t="s">
        <v>790</v>
      </c>
    </row>
    <row r="398" spans="1:3" x14ac:dyDescent="0.25">
      <c r="A398" t="str">
        <f>"018442"</f>
        <v>018442</v>
      </c>
      <c r="B398" t="s">
        <v>791</v>
      </c>
      <c r="C398" t="s">
        <v>792</v>
      </c>
    </row>
    <row r="399" spans="1:3" x14ac:dyDescent="0.25">
      <c r="A399" t="str">
        <f>"018443"</f>
        <v>018443</v>
      </c>
      <c r="B399" t="s">
        <v>793</v>
      </c>
      <c r="C399" t="s">
        <v>794</v>
      </c>
    </row>
    <row r="400" spans="1:3" x14ac:dyDescent="0.25">
      <c r="A400" t="str">
        <f>"018444"</f>
        <v>018444</v>
      </c>
      <c r="B400" t="s">
        <v>795</v>
      </c>
      <c r="C400" t="s">
        <v>796</v>
      </c>
    </row>
    <row r="401" spans="1:3" x14ac:dyDescent="0.25">
      <c r="A401" t="str">
        <f>"018445"</f>
        <v>018445</v>
      </c>
      <c r="B401" t="s">
        <v>797</v>
      </c>
      <c r="C401" t="s">
        <v>798</v>
      </c>
    </row>
    <row r="402" spans="1:3" x14ac:dyDescent="0.25">
      <c r="A402" t="str">
        <f>"018446"</f>
        <v>018446</v>
      </c>
      <c r="B402" t="s">
        <v>799</v>
      </c>
      <c r="C402" t="s">
        <v>800</v>
      </c>
    </row>
    <row r="403" spans="1:3" x14ac:dyDescent="0.25">
      <c r="A403" t="str">
        <f>"018447"</f>
        <v>018447</v>
      </c>
      <c r="B403" t="s">
        <v>801</v>
      </c>
      <c r="C403" t="s">
        <v>802</v>
      </c>
    </row>
    <row r="404" spans="1:3" x14ac:dyDescent="0.25">
      <c r="A404" t="str">
        <f>"018448"</f>
        <v>018448</v>
      </c>
      <c r="B404" t="s">
        <v>803</v>
      </c>
      <c r="C404" t="s">
        <v>804</v>
      </c>
    </row>
    <row r="405" spans="1:3" x14ac:dyDescent="0.25">
      <c r="A405" t="str">
        <f>"01845 "</f>
        <v xml:space="preserve">01845 </v>
      </c>
      <c r="B405" t="s">
        <v>805</v>
      </c>
      <c r="C405" t="s">
        <v>806</v>
      </c>
    </row>
    <row r="406" spans="1:3" x14ac:dyDescent="0.25">
      <c r="A406" t="str">
        <f>"01846 "</f>
        <v xml:space="preserve">01846 </v>
      </c>
      <c r="B406" t="s">
        <v>807</v>
      </c>
      <c r="C406" t="s">
        <v>808</v>
      </c>
    </row>
    <row r="407" spans="1:3" x14ac:dyDescent="0.25">
      <c r="A407" t="str">
        <f>"01847 "</f>
        <v xml:space="preserve">01847 </v>
      </c>
      <c r="B407" t="s">
        <v>809</v>
      </c>
      <c r="C407" t="s">
        <v>810</v>
      </c>
    </row>
    <row r="408" spans="1:3" x14ac:dyDescent="0.25">
      <c r="A408" t="str">
        <f>"01848 "</f>
        <v xml:space="preserve">01848 </v>
      </c>
      <c r="B408" t="s">
        <v>811</v>
      </c>
      <c r="C408" t="s">
        <v>812</v>
      </c>
    </row>
    <row r="409" spans="1:3" x14ac:dyDescent="0.25">
      <c r="A409" t="str">
        <f>"01849 "</f>
        <v xml:space="preserve">01849 </v>
      </c>
      <c r="B409" t="s">
        <v>813</v>
      </c>
      <c r="C409" t="s">
        <v>814</v>
      </c>
    </row>
    <row r="410" spans="1:3" x14ac:dyDescent="0.25">
      <c r="A410" t="str">
        <f>"01849R"</f>
        <v>01849R</v>
      </c>
      <c r="B410" t="s">
        <v>815</v>
      </c>
      <c r="C410" t="s">
        <v>816</v>
      </c>
    </row>
    <row r="411" spans="1:3" x14ac:dyDescent="0.25">
      <c r="A411" t="str">
        <f>"0184P "</f>
        <v xml:space="preserve">0184P </v>
      </c>
      <c r="B411" t="s">
        <v>817</v>
      </c>
      <c r="C411" t="s">
        <v>818</v>
      </c>
    </row>
    <row r="412" spans="1:3" x14ac:dyDescent="0.25">
      <c r="A412" t="str">
        <f>"01851 "</f>
        <v xml:space="preserve">01851 </v>
      </c>
      <c r="B412" t="s">
        <v>819</v>
      </c>
      <c r="C412" t="s">
        <v>820</v>
      </c>
    </row>
    <row r="413" spans="1:3" x14ac:dyDescent="0.25">
      <c r="A413" t="str">
        <f>"01871 "</f>
        <v xml:space="preserve">01871 </v>
      </c>
      <c r="B413" t="s">
        <v>821</v>
      </c>
      <c r="C413" t="s">
        <v>822</v>
      </c>
    </row>
    <row r="414" spans="1:3" x14ac:dyDescent="0.25">
      <c r="A414" t="str">
        <f>"01911 "</f>
        <v xml:space="preserve">01911 </v>
      </c>
      <c r="B414" t="s">
        <v>823</v>
      </c>
      <c r="C414" t="s">
        <v>824</v>
      </c>
    </row>
    <row r="415" spans="1:3" x14ac:dyDescent="0.25">
      <c r="A415" t="str">
        <f>"01912 "</f>
        <v xml:space="preserve">01912 </v>
      </c>
      <c r="B415" t="s">
        <v>825</v>
      </c>
      <c r="C415" t="s">
        <v>826</v>
      </c>
    </row>
    <row r="416" spans="1:3" x14ac:dyDescent="0.25">
      <c r="A416" t="str">
        <f>"01912R"</f>
        <v>01912R</v>
      </c>
      <c r="B416" t="s">
        <v>827</v>
      </c>
      <c r="C416" t="s">
        <v>828</v>
      </c>
    </row>
    <row r="417" spans="1:3" x14ac:dyDescent="0.25">
      <c r="A417" t="str">
        <f>"01913 "</f>
        <v xml:space="preserve">01913 </v>
      </c>
      <c r="B417" t="s">
        <v>829</v>
      </c>
      <c r="C417" t="s">
        <v>830</v>
      </c>
    </row>
    <row r="418" spans="1:3" x14ac:dyDescent="0.25">
      <c r="A418" t="str">
        <f>"01914 "</f>
        <v xml:space="preserve">01914 </v>
      </c>
      <c r="B418" t="s">
        <v>831</v>
      </c>
      <c r="C418" t="s">
        <v>832</v>
      </c>
    </row>
    <row r="419" spans="1:3" x14ac:dyDescent="0.25">
      <c r="A419" t="str">
        <f>"0191A9"</f>
        <v>0191A9</v>
      </c>
      <c r="B419" t="s">
        <v>833</v>
      </c>
      <c r="C419" t="s">
        <v>834</v>
      </c>
    </row>
    <row r="420" spans="1:3" x14ac:dyDescent="0.25">
      <c r="A420" t="str">
        <f>"0191AC"</f>
        <v>0191AC</v>
      </c>
      <c r="B420" t="s">
        <v>835</v>
      </c>
      <c r="C420" t="s">
        <v>836</v>
      </c>
    </row>
    <row r="421" spans="1:3" x14ac:dyDescent="0.25">
      <c r="A421" t="str">
        <f>"0191M1"</f>
        <v>0191M1</v>
      </c>
      <c r="B421" t="s">
        <v>837</v>
      </c>
      <c r="C421" t="s">
        <v>838</v>
      </c>
    </row>
    <row r="422" spans="1:3" x14ac:dyDescent="0.25">
      <c r="A422" t="str">
        <f>"0191P "</f>
        <v xml:space="preserve">0191P </v>
      </c>
      <c r="B422" t="s">
        <v>839</v>
      </c>
      <c r="C422" t="s">
        <v>840</v>
      </c>
    </row>
    <row r="423" spans="1:3" x14ac:dyDescent="0.25">
      <c r="A423" t="str">
        <f>"01921 "</f>
        <v xml:space="preserve">01921 </v>
      </c>
      <c r="B423" t="s">
        <v>841</v>
      </c>
      <c r="C423" t="s">
        <v>842</v>
      </c>
    </row>
    <row r="424" spans="1:3" x14ac:dyDescent="0.25">
      <c r="A424" t="str">
        <f>"019210"</f>
        <v>019210</v>
      </c>
      <c r="B424" t="s">
        <v>843</v>
      </c>
      <c r="C424" t="s">
        <v>844</v>
      </c>
    </row>
    <row r="425" spans="1:3" x14ac:dyDescent="0.25">
      <c r="A425" t="str">
        <f>"019211"</f>
        <v>019211</v>
      </c>
      <c r="B425" t="s">
        <v>845</v>
      </c>
      <c r="C425" t="s">
        <v>846</v>
      </c>
    </row>
    <row r="426" spans="1:3" x14ac:dyDescent="0.25">
      <c r="A426" t="str">
        <f>"019212"</f>
        <v>019212</v>
      </c>
      <c r="B426" t="s">
        <v>847</v>
      </c>
      <c r="C426" t="s">
        <v>848</v>
      </c>
    </row>
    <row r="427" spans="1:3" x14ac:dyDescent="0.25">
      <c r="A427" t="str">
        <f>"019213"</f>
        <v>019213</v>
      </c>
      <c r="B427" t="s">
        <v>849</v>
      </c>
      <c r="C427" t="s">
        <v>850</v>
      </c>
    </row>
    <row r="428" spans="1:3" x14ac:dyDescent="0.25">
      <c r="A428" t="str">
        <f>"019214"</f>
        <v>019214</v>
      </c>
      <c r="B428" t="s">
        <v>851</v>
      </c>
      <c r="C428" t="s">
        <v>852</v>
      </c>
    </row>
    <row r="429" spans="1:3" x14ac:dyDescent="0.25">
      <c r="A429" t="str">
        <f>"01922 "</f>
        <v xml:space="preserve">01922 </v>
      </c>
      <c r="B429" t="s">
        <v>853</v>
      </c>
      <c r="C429" t="s">
        <v>854</v>
      </c>
    </row>
    <row r="430" spans="1:3" x14ac:dyDescent="0.25">
      <c r="A430" t="str">
        <f>"01923 "</f>
        <v xml:space="preserve">01923 </v>
      </c>
      <c r="B430" t="s">
        <v>855</v>
      </c>
      <c r="C430" t="s">
        <v>856</v>
      </c>
    </row>
    <row r="431" spans="1:3" x14ac:dyDescent="0.25">
      <c r="A431" t="str">
        <f>"01924 "</f>
        <v xml:space="preserve">01924 </v>
      </c>
      <c r="B431" t="s">
        <v>857</v>
      </c>
      <c r="C431" t="s">
        <v>858</v>
      </c>
    </row>
    <row r="432" spans="1:3" x14ac:dyDescent="0.25">
      <c r="A432" t="str">
        <f>"01925 "</f>
        <v xml:space="preserve">01925 </v>
      </c>
      <c r="B432" t="s">
        <v>859</v>
      </c>
      <c r="C432" t="s">
        <v>860</v>
      </c>
    </row>
    <row r="433" spans="1:3" x14ac:dyDescent="0.25">
      <c r="A433" t="str">
        <f>"01926 "</f>
        <v xml:space="preserve">01926 </v>
      </c>
      <c r="B433" t="s">
        <v>861</v>
      </c>
      <c r="C433" t="s">
        <v>862</v>
      </c>
    </row>
    <row r="434" spans="1:3" x14ac:dyDescent="0.25">
      <c r="A434" t="str">
        <f>"01927 "</f>
        <v xml:space="preserve">01927 </v>
      </c>
      <c r="B434" t="s">
        <v>863</v>
      </c>
      <c r="C434" t="s">
        <v>864</v>
      </c>
    </row>
    <row r="435" spans="1:3" x14ac:dyDescent="0.25">
      <c r="A435" t="str">
        <f>"01928 "</f>
        <v xml:space="preserve">01928 </v>
      </c>
      <c r="B435" t="s">
        <v>865</v>
      </c>
      <c r="C435" t="s">
        <v>866</v>
      </c>
    </row>
    <row r="436" spans="1:3" x14ac:dyDescent="0.25">
      <c r="A436" t="str">
        <f>"01A11 "</f>
        <v xml:space="preserve">01A11 </v>
      </c>
      <c r="B436" t="s">
        <v>867</v>
      </c>
      <c r="C436" t="s">
        <v>868</v>
      </c>
    </row>
    <row r="437" spans="1:3" x14ac:dyDescent="0.25">
      <c r="A437" t="str">
        <f>"01A21 "</f>
        <v xml:space="preserve">01A21 </v>
      </c>
      <c r="B437" t="s">
        <v>869</v>
      </c>
      <c r="C437" t="s">
        <v>870</v>
      </c>
    </row>
    <row r="438" spans="1:3" x14ac:dyDescent="0.25">
      <c r="A438" t="str">
        <f>"01A31 "</f>
        <v xml:space="preserve">01A31 </v>
      </c>
      <c r="B438" t="s">
        <v>871</v>
      </c>
      <c r="C438" t="s">
        <v>872</v>
      </c>
    </row>
    <row r="439" spans="1:3" x14ac:dyDescent="0.25">
      <c r="A439" t="str">
        <f>"01A41 "</f>
        <v xml:space="preserve">01A41 </v>
      </c>
      <c r="B439" t="s">
        <v>873</v>
      </c>
      <c r="C439" t="s">
        <v>874</v>
      </c>
    </row>
    <row r="440" spans="1:3" x14ac:dyDescent="0.25">
      <c r="A440" t="str">
        <f>"01A51 "</f>
        <v xml:space="preserve">01A51 </v>
      </c>
      <c r="B440" t="s">
        <v>875</v>
      </c>
      <c r="C440" t="s">
        <v>876</v>
      </c>
    </row>
    <row r="441" spans="1:3" x14ac:dyDescent="0.25">
      <c r="A441" t="str">
        <f>"01A61 "</f>
        <v xml:space="preserve">01A61 </v>
      </c>
      <c r="B441" t="s">
        <v>877</v>
      </c>
      <c r="C441" t="s">
        <v>878</v>
      </c>
    </row>
    <row r="442" spans="1:3" x14ac:dyDescent="0.25">
      <c r="A442" t="str">
        <f>"01A71 "</f>
        <v xml:space="preserve">01A71 </v>
      </c>
      <c r="B442" t="s">
        <v>879</v>
      </c>
      <c r="C442" t="s">
        <v>880</v>
      </c>
    </row>
    <row r="443" spans="1:3" x14ac:dyDescent="0.25">
      <c r="A443" t="str">
        <f>"01A81 "</f>
        <v xml:space="preserve">01A81 </v>
      </c>
      <c r="B443" t="s">
        <v>881</v>
      </c>
      <c r="C443" t="s">
        <v>882</v>
      </c>
    </row>
    <row r="444" spans="1:3" x14ac:dyDescent="0.25">
      <c r="A444" t="str">
        <f>"01A91 "</f>
        <v xml:space="preserve">01A91 </v>
      </c>
      <c r="B444" t="s">
        <v>883</v>
      </c>
      <c r="C444" t="s">
        <v>884</v>
      </c>
    </row>
    <row r="445" spans="1:3" x14ac:dyDescent="0.25">
      <c r="A445" t="str">
        <f>"01AB1 "</f>
        <v xml:space="preserve">01AB1 </v>
      </c>
      <c r="B445" t="s">
        <v>885</v>
      </c>
      <c r="C445" t="s">
        <v>886</v>
      </c>
    </row>
    <row r="446" spans="1:3" x14ac:dyDescent="0.25">
      <c r="A446" t="str">
        <f>"01AB10"</f>
        <v>01AB10</v>
      </c>
      <c r="B446" t="s">
        <v>887</v>
      </c>
      <c r="C446" t="s">
        <v>888</v>
      </c>
    </row>
    <row r="447" spans="1:3" x14ac:dyDescent="0.25">
      <c r="A447" t="str">
        <f>"01AB11"</f>
        <v>01AB11</v>
      </c>
      <c r="B447" t="s">
        <v>889</v>
      </c>
      <c r="C447" t="s">
        <v>890</v>
      </c>
    </row>
    <row r="448" spans="1:3" x14ac:dyDescent="0.25">
      <c r="A448" t="str">
        <f>"01AB12"</f>
        <v>01AB12</v>
      </c>
      <c r="B448" t="s">
        <v>891</v>
      </c>
      <c r="C448" t="s">
        <v>892</v>
      </c>
    </row>
    <row r="449" spans="1:3" x14ac:dyDescent="0.25">
      <c r="A449" t="str">
        <f>"01AB2 "</f>
        <v xml:space="preserve">01AB2 </v>
      </c>
      <c r="B449" t="s">
        <v>893</v>
      </c>
      <c r="C449" t="s">
        <v>894</v>
      </c>
    </row>
    <row r="450" spans="1:3" x14ac:dyDescent="0.25">
      <c r="A450" t="str">
        <f>"01AB3 "</f>
        <v xml:space="preserve">01AB3 </v>
      </c>
      <c r="B450" t="s">
        <v>895</v>
      </c>
      <c r="C450" t="s">
        <v>896</v>
      </c>
    </row>
    <row r="451" spans="1:3" x14ac:dyDescent="0.25">
      <c r="A451" t="str">
        <f>"01AB4 "</f>
        <v xml:space="preserve">01AB4 </v>
      </c>
      <c r="B451" t="s">
        <v>897</v>
      </c>
      <c r="C451" t="s">
        <v>898</v>
      </c>
    </row>
    <row r="452" spans="1:3" x14ac:dyDescent="0.25">
      <c r="A452" t="str">
        <f>"01AB5 "</f>
        <v xml:space="preserve">01AB5 </v>
      </c>
      <c r="B452" t="s">
        <v>899</v>
      </c>
      <c r="C452" t="s">
        <v>900</v>
      </c>
    </row>
    <row r="453" spans="1:3" x14ac:dyDescent="0.25">
      <c r="A453" t="str">
        <f>"01AB6 "</f>
        <v xml:space="preserve">01AB6 </v>
      </c>
      <c r="B453" t="s">
        <v>901</v>
      </c>
      <c r="C453" t="s">
        <v>902</v>
      </c>
    </row>
    <row r="454" spans="1:3" x14ac:dyDescent="0.25">
      <c r="A454" t="str">
        <f>"01AB7 "</f>
        <v xml:space="preserve">01AB7 </v>
      </c>
      <c r="B454" t="s">
        <v>903</v>
      </c>
      <c r="C454" t="s">
        <v>904</v>
      </c>
    </row>
    <row r="455" spans="1:3" x14ac:dyDescent="0.25">
      <c r="A455" t="str">
        <f>"01AB8 "</f>
        <v xml:space="preserve">01AB8 </v>
      </c>
      <c r="B455" t="s">
        <v>905</v>
      </c>
      <c r="C455" t="s">
        <v>906</v>
      </c>
    </row>
    <row r="456" spans="1:3" x14ac:dyDescent="0.25">
      <c r="A456" t="str">
        <f>"01AB9 "</f>
        <v xml:space="preserve">01AB9 </v>
      </c>
      <c r="B456" t="s">
        <v>907</v>
      </c>
      <c r="C456" t="s">
        <v>908</v>
      </c>
    </row>
    <row r="457" spans="1:3" x14ac:dyDescent="0.25">
      <c r="A457" t="str">
        <f>"01AC1 "</f>
        <v xml:space="preserve">01AC1 </v>
      </c>
      <c r="B457" t="s">
        <v>909</v>
      </c>
      <c r="C457" t="s">
        <v>910</v>
      </c>
    </row>
    <row r="458" spans="1:3" x14ac:dyDescent="0.25">
      <c r="A458" t="str">
        <f>"01AP1 "</f>
        <v xml:space="preserve">01AP1 </v>
      </c>
      <c r="B458" t="s">
        <v>911</v>
      </c>
      <c r="C458" t="s">
        <v>912</v>
      </c>
    </row>
    <row r="459" spans="1:3" x14ac:dyDescent="0.25">
      <c r="A459" t="str">
        <f>"01AQ1 "</f>
        <v xml:space="preserve">01AQ1 </v>
      </c>
      <c r="B459" t="s">
        <v>913</v>
      </c>
      <c r="C459" t="s">
        <v>914</v>
      </c>
    </row>
    <row r="460" spans="1:3" x14ac:dyDescent="0.25">
      <c r="A460" t="str">
        <f>"01AQ2 "</f>
        <v xml:space="preserve">01AQ2 </v>
      </c>
      <c r="B460" t="s">
        <v>915</v>
      </c>
      <c r="C460" t="s">
        <v>916</v>
      </c>
    </row>
    <row r="461" spans="1:3" x14ac:dyDescent="0.25">
      <c r="A461" t="str">
        <f>"01AQ3 "</f>
        <v xml:space="preserve">01AQ3 </v>
      </c>
      <c r="B461" t="s">
        <v>917</v>
      </c>
      <c r="C461" t="s">
        <v>918</v>
      </c>
    </row>
    <row r="462" spans="1:3" x14ac:dyDescent="0.25">
      <c r="A462" t="str">
        <f>"01AQ4 "</f>
        <v xml:space="preserve">01AQ4 </v>
      </c>
      <c r="B462" t="s">
        <v>919</v>
      </c>
      <c r="C462" t="s">
        <v>920</v>
      </c>
    </row>
    <row r="463" spans="1:3" x14ac:dyDescent="0.25">
      <c r="A463" t="str">
        <f>"01AR1 "</f>
        <v xml:space="preserve">01AR1 </v>
      </c>
      <c r="B463" t="s">
        <v>921</v>
      </c>
      <c r="C463" t="s">
        <v>922</v>
      </c>
    </row>
    <row r="464" spans="1:3" x14ac:dyDescent="0.25">
      <c r="A464" t="str">
        <f>"01AR2 "</f>
        <v xml:space="preserve">01AR2 </v>
      </c>
      <c r="B464" t="s">
        <v>923</v>
      </c>
      <c r="C464" t="s">
        <v>924</v>
      </c>
    </row>
    <row r="465" spans="1:3" x14ac:dyDescent="0.25">
      <c r="A465" t="str">
        <f>"01AR3 "</f>
        <v xml:space="preserve">01AR3 </v>
      </c>
      <c r="B465" t="s">
        <v>925</v>
      </c>
      <c r="C465" t="s">
        <v>926</v>
      </c>
    </row>
    <row r="466" spans="1:3" x14ac:dyDescent="0.25">
      <c r="A466" t="str">
        <f>"01AR4 "</f>
        <v xml:space="preserve">01AR4 </v>
      </c>
      <c r="B466" t="s">
        <v>927</v>
      </c>
      <c r="C466" t="s">
        <v>928</v>
      </c>
    </row>
    <row r="467" spans="1:3" x14ac:dyDescent="0.25">
      <c r="A467" t="str">
        <f>"01AR5 "</f>
        <v xml:space="preserve">01AR5 </v>
      </c>
      <c r="B467" t="s">
        <v>929</v>
      </c>
      <c r="C467" t="s">
        <v>930</v>
      </c>
    </row>
    <row r="468" spans="1:3" x14ac:dyDescent="0.25">
      <c r="A468" t="str">
        <f>"01AR6 "</f>
        <v xml:space="preserve">01AR6 </v>
      </c>
      <c r="B468" t="s">
        <v>931</v>
      </c>
      <c r="C468" t="s">
        <v>932</v>
      </c>
    </row>
    <row r="469" spans="1:3" x14ac:dyDescent="0.25">
      <c r="A469" t="str">
        <f>"01AR7 "</f>
        <v xml:space="preserve">01AR7 </v>
      </c>
      <c r="B469" t="s">
        <v>933</v>
      </c>
      <c r="C469" t="s">
        <v>934</v>
      </c>
    </row>
    <row r="470" spans="1:3" x14ac:dyDescent="0.25">
      <c r="A470" t="str">
        <f>"01AS1 "</f>
        <v xml:space="preserve">01AS1 </v>
      </c>
      <c r="B470" t="s">
        <v>935</v>
      </c>
      <c r="C470" t="s">
        <v>936</v>
      </c>
    </row>
    <row r="471" spans="1:3" x14ac:dyDescent="0.25">
      <c r="A471" t="str">
        <f>"01AV1 "</f>
        <v xml:space="preserve">01AV1 </v>
      </c>
      <c r="B471" t="s">
        <v>937</v>
      </c>
      <c r="C471" t="s">
        <v>938</v>
      </c>
    </row>
    <row r="472" spans="1:3" x14ac:dyDescent="0.25">
      <c r="A472" t="str">
        <f>"01AW1 "</f>
        <v xml:space="preserve">01AW1 </v>
      </c>
      <c r="B472" t="s">
        <v>939</v>
      </c>
      <c r="C472" t="s">
        <v>940</v>
      </c>
    </row>
    <row r="473" spans="1:3" x14ac:dyDescent="0.25">
      <c r="A473" t="str">
        <f>"01AW2 "</f>
        <v xml:space="preserve">01AW2 </v>
      </c>
      <c r="B473" t="s">
        <v>941</v>
      </c>
      <c r="C473" t="s">
        <v>942</v>
      </c>
    </row>
    <row r="474" spans="1:3" x14ac:dyDescent="0.25">
      <c r="A474" t="str">
        <f>"01AW3 "</f>
        <v xml:space="preserve">01AW3 </v>
      </c>
      <c r="B474" t="s">
        <v>943</v>
      </c>
      <c r="C474" t="s">
        <v>944</v>
      </c>
    </row>
    <row r="475" spans="1:3" x14ac:dyDescent="0.25">
      <c r="A475" t="str">
        <f>"01AY1 "</f>
        <v xml:space="preserve">01AY1 </v>
      </c>
      <c r="B475" t="s">
        <v>945</v>
      </c>
      <c r="C475" t="s">
        <v>946</v>
      </c>
    </row>
    <row r="476" spans="1:3" x14ac:dyDescent="0.25">
      <c r="A476" t="str">
        <f>"01AY2 "</f>
        <v xml:space="preserve">01AY2 </v>
      </c>
      <c r="B476" t="s">
        <v>947</v>
      </c>
      <c r="C476" t="s">
        <v>948</v>
      </c>
    </row>
    <row r="477" spans="1:3" x14ac:dyDescent="0.25">
      <c r="A477" t="str">
        <f>"01AY3 "</f>
        <v xml:space="preserve">01AY3 </v>
      </c>
      <c r="B477" t="s">
        <v>949</v>
      </c>
      <c r="C477" t="s">
        <v>950</v>
      </c>
    </row>
    <row r="478" spans="1:3" x14ac:dyDescent="0.25">
      <c r="A478" t="str">
        <f>"01AY4 "</f>
        <v xml:space="preserve">01AY4 </v>
      </c>
      <c r="B478" t="s">
        <v>951</v>
      </c>
      <c r="C478" t="s">
        <v>952</v>
      </c>
    </row>
    <row r="479" spans="1:3" x14ac:dyDescent="0.25">
      <c r="A479" t="str">
        <f>"01AY5 "</f>
        <v xml:space="preserve">01AY5 </v>
      </c>
      <c r="B479" t="s">
        <v>953</v>
      </c>
      <c r="C479" t="s">
        <v>954</v>
      </c>
    </row>
    <row r="480" spans="1:3" x14ac:dyDescent="0.25">
      <c r="A480" t="str">
        <f>"01AY6 "</f>
        <v xml:space="preserve">01AY6 </v>
      </c>
      <c r="B480" t="s">
        <v>955</v>
      </c>
      <c r="C480" t="s">
        <v>956</v>
      </c>
    </row>
    <row r="481" spans="1:3" x14ac:dyDescent="0.25">
      <c r="A481" t="str">
        <f>"01B11 "</f>
        <v xml:space="preserve">01B11 </v>
      </c>
      <c r="B481" t="s">
        <v>957</v>
      </c>
      <c r="C481" t="s">
        <v>958</v>
      </c>
    </row>
    <row r="482" spans="1:3" x14ac:dyDescent="0.25">
      <c r="A482" t="str">
        <f>"01B72 "</f>
        <v xml:space="preserve">01B72 </v>
      </c>
      <c r="B482" t="s">
        <v>959</v>
      </c>
      <c r="C482" t="s">
        <v>960</v>
      </c>
    </row>
    <row r="483" spans="1:3" x14ac:dyDescent="0.25">
      <c r="A483" t="str">
        <f>"01B73 "</f>
        <v xml:space="preserve">01B73 </v>
      </c>
      <c r="B483" t="s">
        <v>961</v>
      </c>
      <c r="C483" t="s">
        <v>962</v>
      </c>
    </row>
    <row r="484" spans="1:3" x14ac:dyDescent="0.25">
      <c r="A484" t="str">
        <f>"01B81 "</f>
        <v xml:space="preserve">01B81 </v>
      </c>
      <c r="B484" t="s">
        <v>963</v>
      </c>
      <c r="C484" t="s">
        <v>964</v>
      </c>
    </row>
    <row r="485" spans="1:3" x14ac:dyDescent="0.25">
      <c r="A485" t="str">
        <f>"01B82 "</f>
        <v xml:space="preserve">01B82 </v>
      </c>
      <c r="B485" t="s">
        <v>965</v>
      </c>
      <c r="C485" t="s">
        <v>966</v>
      </c>
    </row>
    <row r="486" spans="1:3" x14ac:dyDescent="0.25">
      <c r="A486" t="str">
        <f>"01B83 "</f>
        <v xml:space="preserve">01B83 </v>
      </c>
      <c r="B486" t="s">
        <v>967</v>
      </c>
      <c r="C486" t="s">
        <v>968</v>
      </c>
    </row>
    <row r="487" spans="1:3" x14ac:dyDescent="0.25">
      <c r="A487" t="str">
        <f>"01B84 "</f>
        <v xml:space="preserve">01B84 </v>
      </c>
      <c r="B487" t="s">
        <v>969</v>
      </c>
      <c r="C487" t="s">
        <v>970</v>
      </c>
    </row>
    <row r="488" spans="1:3" x14ac:dyDescent="0.25">
      <c r="A488" t="str">
        <f>"01B91 "</f>
        <v xml:space="preserve">01B91 </v>
      </c>
      <c r="B488" t="s">
        <v>971</v>
      </c>
      <c r="C488" t="s">
        <v>972</v>
      </c>
    </row>
    <row r="489" spans="1:3" x14ac:dyDescent="0.25">
      <c r="A489" t="str">
        <f>"01B92 "</f>
        <v xml:space="preserve">01B92 </v>
      </c>
      <c r="B489" t="s">
        <v>973</v>
      </c>
      <c r="C489" t="s">
        <v>974</v>
      </c>
    </row>
    <row r="490" spans="1:3" x14ac:dyDescent="0.25">
      <c r="A490" t="str">
        <f>"01BH1 "</f>
        <v xml:space="preserve">01BH1 </v>
      </c>
      <c r="B490" t="s">
        <v>975</v>
      </c>
      <c r="C490" t="s">
        <v>976</v>
      </c>
    </row>
    <row r="491" spans="1:3" x14ac:dyDescent="0.25">
      <c r="A491" t="str">
        <f>"01BH2 "</f>
        <v xml:space="preserve">01BH2 </v>
      </c>
      <c r="B491" t="s">
        <v>977</v>
      </c>
      <c r="C491" t="s">
        <v>978</v>
      </c>
    </row>
    <row r="492" spans="1:3" x14ac:dyDescent="0.25">
      <c r="A492" t="str">
        <f>"01BH3 "</f>
        <v xml:space="preserve">01BH3 </v>
      </c>
      <c r="B492" t="s">
        <v>979</v>
      </c>
      <c r="C492" t="s">
        <v>980</v>
      </c>
    </row>
    <row r="493" spans="1:3" x14ac:dyDescent="0.25">
      <c r="A493" t="str">
        <f>"01BI1 "</f>
        <v xml:space="preserve">01BI1 </v>
      </c>
      <c r="B493" t="s">
        <v>981</v>
      </c>
      <c r="C493" t="s">
        <v>982</v>
      </c>
    </row>
    <row r="494" spans="1:3" x14ac:dyDescent="0.25">
      <c r="A494" t="str">
        <f>"01BI2 "</f>
        <v xml:space="preserve">01BI2 </v>
      </c>
      <c r="B494" t="s">
        <v>983</v>
      </c>
      <c r="C494" t="s">
        <v>984</v>
      </c>
    </row>
    <row r="495" spans="1:3" x14ac:dyDescent="0.25">
      <c r="A495" t="str">
        <f>"01BI3 "</f>
        <v xml:space="preserve">01BI3 </v>
      </c>
      <c r="B495" t="s">
        <v>985</v>
      </c>
      <c r="C495" t="s">
        <v>986</v>
      </c>
    </row>
    <row r="496" spans="1:3" x14ac:dyDescent="0.25">
      <c r="A496" t="str">
        <f>"01BP1 "</f>
        <v xml:space="preserve">01BP1 </v>
      </c>
      <c r="B496" t="s">
        <v>987</v>
      </c>
      <c r="C496" t="s">
        <v>988</v>
      </c>
    </row>
    <row r="497" spans="1:3" x14ac:dyDescent="0.25">
      <c r="A497" t="str">
        <f>"01BP2 "</f>
        <v xml:space="preserve">01BP2 </v>
      </c>
      <c r="B497" t="s">
        <v>989</v>
      </c>
      <c r="C497" t="s">
        <v>990</v>
      </c>
    </row>
    <row r="498" spans="1:3" x14ac:dyDescent="0.25">
      <c r="A498" t="str">
        <f>"01BP3 "</f>
        <v xml:space="preserve">01BP3 </v>
      </c>
      <c r="B498" t="s">
        <v>991</v>
      </c>
      <c r="C498" t="s">
        <v>992</v>
      </c>
    </row>
    <row r="499" spans="1:3" x14ac:dyDescent="0.25">
      <c r="A499" t="str">
        <f>"01BP4 "</f>
        <v xml:space="preserve">01BP4 </v>
      </c>
      <c r="B499" t="s">
        <v>993</v>
      </c>
      <c r="C499" t="s">
        <v>994</v>
      </c>
    </row>
    <row r="500" spans="1:3" x14ac:dyDescent="0.25">
      <c r="A500" t="str">
        <f>"01BP5 "</f>
        <v xml:space="preserve">01BP5 </v>
      </c>
      <c r="B500" t="s">
        <v>995</v>
      </c>
      <c r="C500" t="s">
        <v>996</v>
      </c>
    </row>
    <row r="501" spans="1:3" x14ac:dyDescent="0.25">
      <c r="A501" t="str">
        <f>"01BR1 "</f>
        <v xml:space="preserve">01BR1 </v>
      </c>
      <c r="B501" t="s">
        <v>997</v>
      </c>
      <c r="C501" t="s">
        <v>998</v>
      </c>
    </row>
    <row r="502" spans="1:3" x14ac:dyDescent="0.25">
      <c r="A502" t="str">
        <f>"01BS1 "</f>
        <v xml:space="preserve">01BS1 </v>
      </c>
      <c r="B502" t="s">
        <v>999</v>
      </c>
      <c r="C502" t="s">
        <v>1000</v>
      </c>
    </row>
    <row r="503" spans="1:3" x14ac:dyDescent="0.25">
      <c r="A503" t="str">
        <f>"01BS2 "</f>
        <v xml:space="preserve">01BS2 </v>
      </c>
      <c r="B503" t="s">
        <v>1001</v>
      </c>
      <c r="C503" t="s">
        <v>1002</v>
      </c>
    </row>
    <row r="504" spans="1:3" x14ac:dyDescent="0.25">
      <c r="A504" t="str">
        <f>"01BT1 "</f>
        <v xml:space="preserve">01BT1 </v>
      </c>
      <c r="B504" t="s">
        <v>1003</v>
      </c>
      <c r="C504" t="s">
        <v>1004</v>
      </c>
    </row>
    <row r="505" spans="1:3" x14ac:dyDescent="0.25">
      <c r="A505" t="str">
        <f>"01BU1 "</f>
        <v xml:space="preserve">01BU1 </v>
      </c>
      <c r="B505" t="s">
        <v>1005</v>
      </c>
      <c r="C505" t="s">
        <v>1006</v>
      </c>
    </row>
    <row r="506" spans="1:3" x14ac:dyDescent="0.25">
      <c r="A506" t="str">
        <f>"01BV1 "</f>
        <v xml:space="preserve">01BV1 </v>
      </c>
      <c r="B506" t="s">
        <v>1007</v>
      </c>
      <c r="C506" t="s">
        <v>1008</v>
      </c>
    </row>
    <row r="507" spans="1:3" x14ac:dyDescent="0.25">
      <c r="A507" t="str">
        <f>"01BX1 "</f>
        <v xml:space="preserve">01BX1 </v>
      </c>
      <c r="B507" t="s">
        <v>1009</v>
      </c>
      <c r="C507" t="s">
        <v>1010</v>
      </c>
    </row>
    <row r="508" spans="1:3" x14ac:dyDescent="0.25">
      <c r="A508" t="str">
        <f>"01BX2 "</f>
        <v xml:space="preserve">01BX2 </v>
      </c>
      <c r="B508" t="s">
        <v>1011</v>
      </c>
      <c r="C508" t="s">
        <v>1012</v>
      </c>
    </row>
    <row r="509" spans="1:3" x14ac:dyDescent="0.25">
      <c r="A509" t="str">
        <f>"01BX3 "</f>
        <v xml:space="preserve">01BX3 </v>
      </c>
      <c r="B509" t="s">
        <v>1013</v>
      </c>
      <c r="C509" t="s">
        <v>1014</v>
      </c>
    </row>
    <row r="510" spans="1:3" x14ac:dyDescent="0.25">
      <c r="A510" t="str">
        <f>"01BX4 "</f>
        <v xml:space="preserve">01BX4 </v>
      </c>
      <c r="B510" t="s">
        <v>1015</v>
      </c>
      <c r="C510" t="s">
        <v>1016</v>
      </c>
    </row>
    <row r="511" spans="1:3" x14ac:dyDescent="0.25">
      <c r="A511" t="str">
        <f>"01BX5 "</f>
        <v xml:space="preserve">01BX5 </v>
      </c>
      <c r="B511" t="s">
        <v>1017</v>
      </c>
      <c r="C511" t="s">
        <v>1018</v>
      </c>
    </row>
    <row r="512" spans="1:3" x14ac:dyDescent="0.25">
      <c r="A512" t="str">
        <f>"01BX6 "</f>
        <v xml:space="preserve">01BX6 </v>
      </c>
      <c r="B512" t="s">
        <v>1019</v>
      </c>
      <c r="C512" t="s">
        <v>1020</v>
      </c>
    </row>
    <row r="513" spans="1:3" x14ac:dyDescent="0.25">
      <c r="A513" t="str">
        <f>"01C11 "</f>
        <v xml:space="preserve">01C11 </v>
      </c>
      <c r="B513" t="s">
        <v>1021</v>
      </c>
      <c r="C513" t="s">
        <v>1022</v>
      </c>
    </row>
    <row r="514" spans="1:3" x14ac:dyDescent="0.25">
      <c r="A514" t="str">
        <f>"01C12 "</f>
        <v xml:space="preserve">01C12 </v>
      </c>
      <c r="B514" t="s">
        <v>1023</v>
      </c>
      <c r="C514" t="s">
        <v>1024</v>
      </c>
    </row>
    <row r="515" spans="1:3" x14ac:dyDescent="0.25">
      <c r="A515" t="str">
        <f>"01C13 "</f>
        <v xml:space="preserve">01C13 </v>
      </c>
      <c r="B515" t="s">
        <v>1025</v>
      </c>
      <c r="C515" t="s">
        <v>1026</v>
      </c>
    </row>
    <row r="516" spans="1:3" x14ac:dyDescent="0.25">
      <c r="A516" t="str">
        <f>"01C14 "</f>
        <v xml:space="preserve">01C14 </v>
      </c>
      <c r="B516" t="s">
        <v>1027</v>
      </c>
      <c r="C516" t="s">
        <v>1028</v>
      </c>
    </row>
    <row r="517" spans="1:3" x14ac:dyDescent="0.25">
      <c r="A517" t="str">
        <f>"01C15 "</f>
        <v xml:space="preserve">01C15 </v>
      </c>
      <c r="B517" t="s">
        <v>1029</v>
      </c>
      <c r="C517" t="s">
        <v>1030</v>
      </c>
    </row>
    <row r="518" spans="1:3" x14ac:dyDescent="0.25">
      <c r="A518" t="str">
        <f>"01C21 "</f>
        <v xml:space="preserve">01C21 </v>
      </c>
      <c r="B518" t="s">
        <v>1031</v>
      </c>
      <c r="C518" t="s">
        <v>1032</v>
      </c>
    </row>
    <row r="519" spans="1:3" x14ac:dyDescent="0.25">
      <c r="A519" t="str">
        <f>"01C22 "</f>
        <v xml:space="preserve">01C22 </v>
      </c>
      <c r="B519" t="s">
        <v>1033</v>
      </c>
      <c r="C519" t="s">
        <v>1034</v>
      </c>
    </row>
    <row r="520" spans="1:3" x14ac:dyDescent="0.25">
      <c r="A520" t="str">
        <f>"01C31 "</f>
        <v xml:space="preserve">01C31 </v>
      </c>
      <c r="B520" t="s">
        <v>1035</v>
      </c>
      <c r="C520" t="s">
        <v>1036</v>
      </c>
    </row>
    <row r="521" spans="1:3" x14ac:dyDescent="0.25">
      <c r="A521" t="str">
        <f>"01C32 "</f>
        <v xml:space="preserve">01C32 </v>
      </c>
      <c r="B521" t="s">
        <v>1037</v>
      </c>
      <c r="C521" t="s">
        <v>1038</v>
      </c>
    </row>
    <row r="522" spans="1:3" x14ac:dyDescent="0.25">
      <c r="A522" t="str">
        <f>"01C41 "</f>
        <v xml:space="preserve">01C41 </v>
      </c>
      <c r="B522" t="s">
        <v>1039</v>
      </c>
      <c r="C522" t="s">
        <v>1040</v>
      </c>
    </row>
    <row r="523" spans="1:3" x14ac:dyDescent="0.25">
      <c r="A523" t="str">
        <f>"01C42 "</f>
        <v xml:space="preserve">01C42 </v>
      </c>
      <c r="B523" t="s">
        <v>1041</v>
      </c>
      <c r="C523" t="s">
        <v>1042</v>
      </c>
    </row>
    <row r="524" spans="1:3" x14ac:dyDescent="0.25">
      <c r="A524" t="str">
        <f>"01C43 "</f>
        <v xml:space="preserve">01C43 </v>
      </c>
      <c r="B524" t="s">
        <v>1043</v>
      </c>
      <c r="C524" t="s">
        <v>1044</v>
      </c>
    </row>
    <row r="525" spans="1:3" x14ac:dyDescent="0.25">
      <c r="A525" t="str">
        <f>"01C51 "</f>
        <v xml:space="preserve">01C51 </v>
      </c>
      <c r="B525" t="s">
        <v>1045</v>
      </c>
      <c r="C525" t="s">
        <v>1046</v>
      </c>
    </row>
    <row r="526" spans="1:3" x14ac:dyDescent="0.25">
      <c r="A526" t="str">
        <f>"01C52 "</f>
        <v xml:space="preserve">01C52 </v>
      </c>
      <c r="B526" t="s">
        <v>1047</v>
      </c>
      <c r="C526" t="s">
        <v>1048</v>
      </c>
    </row>
    <row r="527" spans="1:3" x14ac:dyDescent="0.25">
      <c r="A527" t="str">
        <f>"01C61 "</f>
        <v xml:space="preserve">01C61 </v>
      </c>
      <c r="B527" t="s">
        <v>1049</v>
      </c>
      <c r="C527" t="s">
        <v>1050</v>
      </c>
    </row>
    <row r="528" spans="1:3" x14ac:dyDescent="0.25">
      <c r="A528" t="str">
        <f>"01C62 "</f>
        <v xml:space="preserve">01C62 </v>
      </c>
      <c r="B528" t="s">
        <v>1051</v>
      </c>
      <c r="C528" t="s">
        <v>1052</v>
      </c>
    </row>
    <row r="529" spans="1:3" x14ac:dyDescent="0.25">
      <c r="A529" t="str">
        <f>"01C71 "</f>
        <v xml:space="preserve">01C71 </v>
      </c>
      <c r="B529" t="s">
        <v>1053</v>
      </c>
      <c r="C529" t="s">
        <v>1054</v>
      </c>
    </row>
    <row r="530" spans="1:3" x14ac:dyDescent="0.25">
      <c r="A530" t="str">
        <f>"01C72 "</f>
        <v xml:space="preserve">01C72 </v>
      </c>
      <c r="B530" t="s">
        <v>1055</v>
      </c>
      <c r="C530" t="s">
        <v>1056</v>
      </c>
    </row>
    <row r="531" spans="1:3" x14ac:dyDescent="0.25">
      <c r="A531" t="str">
        <f>"01C81 "</f>
        <v xml:space="preserve">01C81 </v>
      </c>
      <c r="B531" t="s">
        <v>1057</v>
      </c>
      <c r="C531" t="s">
        <v>1058</v>
      </c>
    </row>
    <row r="532" spans="1:3" x14ac:dyDescent="0.25">
      <c r="A532" t="str">
        <f>"01CA1 "</f>
        <v xml:space="preserve">01CA1 </v>
      </c>
      <c r="B532" t="s">
        <v>1059</v>
      </c>
      <c r="C532" t="s">
        <v>1060</v>
      </c>
    </row>
    <row r="533" spans="1:3" x14ac:dyDescent="0.25">
      <c r="A533" t="str">
        <f>"01CA2 "</f>
        <v xml:space="preserve">01CA2 </v>
      </c>
      <c r="B533" t="s">
        <v>1061</v>
      </c>
      <c r="C533" t="s">
        <v>1062</v>
      </c>
    </row>
    <row r="534" spans="1:3" x14ac:dyDescent="0.25">
      <c r="A534" t="str">
        <f>"01CA3 "</f>
        <v xml:space="preserve">01CA3 </v>
      </c>
      <c r="B534" t="s">
        <v>1063</v>
      </c>
      <c r="C534" t="s">
        <v>1064</v>
      </c>
    </row>
    <row r="535" spans="1:3" x14ac:dyDescent="0.25">
      <c r="A535" t="str">
        <f>"01CA4 "</f>
        <v xml:space="preserve">01CA4 </v>
      </c>
      <c r="B535" t="s">
        <v>1065</v>
      </c>
      <c r="C535" t="s">
        <v>1066</v>
      </c>
    </row>
    <row r="536" spans="1:3" x14ac:dyDescent="0.25">
      <c r="A536" t="str">
        <f>"01CA5 "</f>
        <v xml:space="preserve">01CA5 </v>
      </c>
      <c r="B536" t="s">
        <v>1067</v>
      </c>
      <c r="C536" t="s">
        <v>1068</v>
      </c>
    </row>
    <row r="537" spans="1:3" x14ac:dyDescent="0.25">
      <c r="A537" t="str">
        <f>"01CB1 "</f>
        <v xml:space="preserve">01CB1 </v>
      </c>
      <c r="B537" t="s">
        <v>1069</v>
      </c>
      <c r="C537" t="s">
        <v>1070</v>
      </c>
    </row>
    <row r="538" spans="1:3" x14ac:dyDescent="0.25">
      <c r="A538" t="str">
        <f>"01CB2 "</f>
        <v xml:space="preserve">01CB2 </v>
      </c>
      <c r="B538" t="s">
        <v>1071</v>
      </c>
      <c r="C538" t="s">
        <v>1072</v>
      </c>
    </row>
    <row r="539" spans="1:3" x14ac:dyDescent="0.25">
      <c r="A539" t="str">
        <f>"01CB3 "</f>
        <v xml:space="preserve">01CB3 </v>
      </c>
      <c r="B539" t="s">
        <v>1073</v>
      </c>
      <c r="C539" t="s">
        <v>1074</v>
      </c>
    </row>
    <row r="540" spans="1:3" x14ac:dyDescent="0.25">
      <c r="A540" t="str">
        <f>"01CC1 "</f>
        <v xml:space="preserve">01CC1 </v>
      </c>
      <c r="B540" t="s">
        <v>1075</v>
      </c>
      <c r="C540" t="s">
        <v>1076</v>
      </c>
    </row>
    <row r="541" spans="1:3" x14ac:dyDescent="0.25">
      <c r="A541" t="str">
        <f>"01CD1 "</f>
        <v xml:space="preserve">01CD1 </v>
      </c>
      <c r="B541" t="s">
        <v>1077</v>
      </c>
      <c r="C541" t="s">
        <v>1078</v>
      </c>
    </row>
    <row r="542" spans="1:3" x14ac:dyDescent="0.25">
      <c r="A542" t="str">
        <f>"01CF1 "</f>
        <v xml:space="preserve">01CF1 </v>
      </c>
      <c r="B542" t="s">
        <v>1079</v>
      </c>
      <c r="C542" t="s">
        <v>1080</v>
      </c>
    </row>
    <row r="543" spans="1:3" x14ac:dyDescent="0.25">
      <c r="A543" t="str">
        <f>"01CF2 "</f>
        <v xml:space="preserve">01CF2 </v>
      </c>
      <c r="B543" t="s">
        <v>1081</v>
      </c>
      <c r="C543" t="s">
        <v>1082</v>
      </c>
    </row>
    <row r="544" spans="1:3" x14ac:dyDescent="0.25">
      <c r="A544" t="str">
        <f>"01CG1 "</f>
        <v xml:space="preserve">01CG1 </v>
      </c>
      <c r="B544" t="s">
        <v>1083</v>
      </c>
      <c r="C544" t="s">
        <v>1084</v>
      </c>
    </row>
    <row r="545" spans="1:3" x14ac:dyDescent="0.25">
      <c r="A545" t="str">
        <f>"01CH1 "</f>
        <v xml:space="preserve">01CH1 </v>
      </c>
      <c r="B545" t="s">
        <v>1085</v>
      </c>
      <c r="C545" t="s">
        <v>1086</v>
      </c>
    </row>
    <row r="546" spans="1:3" x14ac:dyDescent="0.25">
      <c r="A546" t="str">
        <f>"01CH2 "</f>
        <v xml:space="preserve">01CH2 </v>
      </c>
      <c r="B546" t="s">
        <v>1087</v>
      </c>
      <c r="C546" t="s">
        <v>1088</v>
      </c>
    </row>
    <row r="547" spans="1:3" x14ac:dyDescent="0.25">
      <c r="A547" t="str">
        <f>"01CI1 "</f>
        <v xml:space="preserve">01CI1 </v>
      </c>
      <c r="B547" t="s">
        <v>1089</v>
      </c>
      <c r="C547" t="s">
        <v>1090</v>
      </c>
    </row>
    <row r="548" spans="1:3" x14ac:dyDescent="0.25">
      <c r="A548" t="str">
        <f>"01CK1 "</f>
        <v xml:space="preserve">01CK1 </v>
      </c>
      <c r="B548" t="s">
        <v>1091</v>
      </c>
      <c r="C548" t="s">
        <v>1092</v>
      </c>
    </row>
    <row r="549" spans="1:3" x14ac:dyDescent="0.25">
      <c r="A549" t="str">
        <f>"01CK2 "</f>
        <v xml:space="preserve">01CK2 </v>
      </c>
      <c r="B549" t="s">
        <v>1093</v>
      </c>
      <c r="C549" t="s">
        <v>1094</v>
      </c>
    </row>
    <row r="550" spans="1:3" x14ac:dyDescent="0.25">
      <c r="A550" t="str">
        <f>"01CK3 "</f>
        <v xml:space="preserve">01CK3 </v>
      </c>
      <c r="B550" t="s">
        <v>1095</v>
      </c>
      <c r="C550" t="s">
        <v>1096</v>
      </c>
    </row>
    <row r="551" spans="1:3" x14ac:dyDescent="0.25">
      <c r="A551" t="str">
        <f>"01CL1 "</f>
        <v xml:space="preserve">01CL1 </v>
      </c>
      <c r="B551" t="s">
        <v>1097</v>
      </c>
      <c r="C551" t="s">
        <v>1098</v>
      </c>
    </row>
    <row r="552" spans="1:3" x14ac:dyDescent="0.25">
      <c r="A552" t="str">
        <f>"01CL2 "</f>
        <v xml:space="preserve">01CL2 </v>
      </c>
      <c r="B552" t="s">
        <v>1099</v>
      </c>
      <c r="C552" t="s">
        <v>1100</v>
      </c>
    </row>
    <row r="553" spans="1:3" x14ac:dyDescent="0.25">
      <c r="A553" t="str">
        <f>"01CL3 "</f>
        <v xml:space="preserve">01CL3 </v>
      </c>
      <c r="B553" t="s">
        <v>1101</v>
      </c>
      <c r="C553" t="s">
        <v>1102</v>
      </c>
    </row>
    <row r="554" spans="1:3" x14ac:dyDescent="0.25">
      <c r="A554" t="str">
        <f>"01CN1 "</f>
        <v xml:space="preserve">01CN1 </v>
      </c>
      <c r="B554" t="s">
        <v>1103</v>
      </c>
      <c r="C554" t="s">
        <v>1104</v>
      </c>
    </row>
    <row r="555" spans="1:3" x14ac:dyDescent="0.25">
      <c r="A555" t="str">
        <f>"01CN2 "</f>
        <v xml:space="preserve">01CN2 </v>
      </c>
      <c r="B555" t="s">
        <v>1105</v>
      </c>
      <c r="C555" t="s">
        <v>1106</v>
      </c>
    </row>
    <row r="556" spans="1:3" x14ac:dyDescent="0.25">
      <c r="A556" t="str">
        <f>"01CN3 "</f>
        <v xml:space="preserve">01CN3 </v>
      </c>
      <c r="B556" t="s">
        <v>1107</v>
      </c>
      <c r="C556" t="s">
        <v>1108</v>
      </c>
    </row>
    <row r="557" spans="1:3" x14ac:dyDescent="0.25">
      <c r="A557" t="str">
        <f>"01CN4 "</f>
        <v xml:space="preserve">01CN4 </v>
      </c>
      <c r="B557" t="s">
        <v>1109</v>
      </c>
      <c r="C557" t="s">
        <v>1110</v>
      </c>
    </row>
    <row r="558" spans="1:3" x14ac:dyDescent="0.25">
      <c r="A558" t="str">
        <f>"01CP1 "</f>
        <v xml:space="preserve">01CP1 </v>
      </c>
      <c r="B558" t="s">
        <v>1111</v>
      </c>
      <c r="C558" t="s">
        <v>1112</v>
      </c>
    </row>
    <row r="559" spans="1:3" x14ac:dyDescent="0.25">
      <c r="A559" t="str">
        <f>"01CP2 "</f>
        <v xml:space="preserve">01CP2 </v>
      </c>
      <c r="B559" t="s">
        <v>1113</v>
      </c>
      <c r="C559" t="s">
        <v>1114</v>
      </c>
    </row>
    <row r="560" spans="1:3" x14ac:dyDescent="0.25">
      <c r="A560" t="str">
        <f>"01CP3 "</f>
        <v xml:space="preserve">01CP3 </v>
      </c>
      <c r="B560" t="s">
        <v>1115</v>
      </c>
      <c r="C560" t="s">
        <v>1116</v>
      </c>
    </row>
    <row r="561" spans="1:3" x14ac:dyDescent="0.25">
      <c r="A561" t="str">
        <f>"01CP4 "</f>
        <v xml:space="preserve">01CP4 </v>
      </c>
      <c r="B561" t="s">
        <v>1117</v>
      </c>
      <c r="C561" t="s">
        <v>1118</v>
      </c>
    </row>
    <row r="562" spans="1:3" x14ac:dyDescent="0.25">
      <c r="A562" t="str">
        <f>"01CR1 "</f>
        <v xml:space="preserve">01CR1 </v>
      </c>
      <c r="B562" t="s">
        <v>1119</v>
      </c>
      <c r="C562" t="s">
        <v>1120</v>
      </c>
    </row>
    <row r="563" spans="1:3" x14ac:dyDescent="0.25">
      <c r="A563" t="str">
        <f>"01CR2 "</f>
        <v xml:space="preserve">01CR2 </v>
      </c>
      <c r="B563" t="s">
        <v>1121</v>
      </c>
      <c r="C563" t="s">
        <v>1122</v>
      </c>
    </row>
    <row r="564" spans="1:3" x14ac:dyDescent="0.25">
      <c r="A564" t="str">
        <f>"01CS1 "</f>
        <v xml:space="preserve">01CS1 </v>
      </c>
      <c r="B564" t="s">
        <v>1123</v>
      </c>
      <c r="C564" t="s">
        <v>1124</v>
      </c>
    </row>
    <row r="565" spans="1:3" x14ac:dyDescent="0.25">
      <c r="A565" t="str">
        <f>"01CS10"</f>
        <v>01CS10</v>
      </c>
      <c r="B565" t="s">
        <v>1125</v>
      </c>
      <c r="C565" t="s">
        <v>1126</v>
      </c>
    </row>
    <row r="566" spans="1:3" x14ac:dyDescent="0.25">
      <c r="A566" t="str">
        <f>"01CS2 "</f>
        <v xml:space="preserve">01CS2 </v>
      </c>
      <c r="B566" t="s">
        <v>1127</v>
      </c>
      <c r="C566" t="s">
        <v>1128</v>
      </c>
    </row>
    <row r="567" spans="1:3" x14ac:dyDescent="0.25">
      <c r="A567" t="str">
        <f>"01CS3 "</f>
        <v xml:space="preserve">01CS3 </v>
      </c>
      <c r="B567" t="s">
        <v>1129</v>
      </c>
      <c r="C567" t="s">
        <v>1130</v>
      </c>
    </row>
    <row r="568" spans="1:3" x14ac:dyDescent="0.25">
      <c r="A568" t="str">
        <f>"01CS4 "</f>
        <v xml:space="preserve">01CS4 </v>
      </c>
      <c r="B568" t="s">
        <v>1131</v>
      </c>
      <c r="C568" t="s">
        <v>1132</v>
      </c>
    </row>
    <row r="569" spans="1:3" x14ac:dyDescent="0.25">
      <c r="A569" t="str">
        <f>"01CS5 "</f>
        <v xml:space="preserve">01CS5 </v>
      </c>
      <c r="B569" t="s">
        <v>1133</v>
      </c>
      <c r="C569" t="s">
        <v>1134</v>
      </c>
    </row>
    <row r="570" spans="1:3" x14ac:dyDescent="0.25">
      <c r="A570" t="str">
        <f>"01CS6 "</f>
        <v xml:space="preserve">01CS6 </v>
      </c>
      <c r="B570" t="s">
        <v>1135</v>
      </c>
      <c r="C570" t="s">
        <v>1136</v>
      </c>
    </row>
    <row r="571" spans="1:3" x14ac:dyDescent="0.25">
      <c r="A571" t="str">
        <f>"01CS7 "</f>
        <v xml:space="preserve">01CS7 </v>
      </c>
      <c r="B571" t="s">
        <v>1137</v>
      </c>
      <c r="C571" t="s">
        <v>1138</v>
      </c>
    </row>
    <row r="572" spans="1:3" x14ac:dyDescent="0.25">
      <c r="A572" t="str">
        <f>"01CS8 "</f>
        <v xml:space="preserve">01CS8 </v>
      </c>
      <c r="B572" t="s">
        <v>1139</v>
      </c>
      <c r="C572" t="s">
        <v>1140</v>
      </c>
    </row>
    <row r="573" spans="1:3" x14ac:dyDescent="0.25">
      <c r="A573" t="str">
        <f>"01CS9 "</f>
        <v xml:space="preserve">01CS9 </v>
      </c>
      <c r="B573" t="s">
        <v>1141</v>
      </c>
      <c r="C573" t="s">
        <v>1142</v>
      </c>
    </row>
    <row r="574" spans="1:3" x14ac:dyDescent="0.25">
      <c r="A574" t="str">
        <f>"01CU1 "</f>
        <v xml:space="preserve">01CU1 </v>
      </c>
      <c r="B574" t="s">
        <v>1143</v>
      </c>
      <c r="C574" t="s">
        <v>1144</v>
      </c>
    </row>
    <row r="575" spans="1:3" x14ac:dyDescent="0.25">
      <c r="A575" t="str">
        <f>"01CU2 "</f>
        <v xml:space="preserve">01CU2 </v>
      </c>
      <c r="B575" t="s">
        <v>1145</v>
      </c>
      <c r="C575" t="s">
        <v>1146</v>
      </c>
    </row>
    <row r="576" spans="1:3" x14ac:dyDescent="0.25">
      <c r="A576" t="str">
        <f>"01CW1 "</f>
        <v xml:space="preserve">01CW1 </v>
      </c>
      <c r="B576" t="s">
        <v>1147</v>
      </c>
      <c r="C576" t="s">
        <v>1148</v>
      </c>
    </row>
    <row r="577" spans="1:3" x14ac:dyDescent="0.25">
      <c r="A577" t="str">
        <f>"01CW2 "</f>
        <v xml:space="preserve">01CW2 </v>
      </c>
      <c r="B577" t="s">
        <v>1149</v>
      </c>
      <c r="C577" t="s">
        <v>1150</v>
      </c>
    </row>
    <row r="578" spans="1:3" x14ac:dyDescent="0.25">
      <c r="A578" t="str">
        <f>"01CX1 "</f>
        <v xml:space="preserve">01CX1 </v>
      </c>
      <c r="B578" t="s">
        <v>1151</v>
      </c>
      <c r="C578" t="s">
        <v>1152</v>
      </c>
    </row>
    <row r="579" spans="1:3" x14ac:dyDescent="0.25">
      <c r="A579" t="str">
        <f>"01CY1 "</f>
        <v xml:space="preserve">01CY1 </v>
      </c>
      <c r="B579" t="s">
        <v>1153</v>
      </c>
      <c r="C579" t="s">
        <v>1154</v>
      </c>
    </row>
    <row r="580" spans="1:3" x14ac:dyDescent="0.25">
      <c r="A580" t="str">
        <f>"01CY2 "</f>
        <v xml:space="preserve">01CY2 </v>
      </c>
      <c r="B580" t="s">
        <v>1155</v>
      </c>
      <c r="C580" t="s">
        <v>1156</v>
      </c>
    </row>
    <row r="581" spans="1:3" x14ac:dyDescent="0.25">
      <c r="A581" t="str">
        <f>"01CY3 "</f>
        <v xml:space="preserve">01CY3 </v>
      </c>
      <c r="B581" t="s">
        <v>1157</v>
      </c>
      <c r="C581" t="s">
        <v>1158</v>
      </c>
    </row>
    <row r="582" spans="1:3" x14ac:dyDescent="0.25">
      <c r="A582" t="str">
        <f>"01D11 "</f>
        <v xml:space="preserve">01D11 </v>
      </c>
      <c r="B582" t="s">
        <v>1159</v>
      </c>
      <c r="C582" t="s">
        <v>1160</v>
      </c>
    </row>
    <row r="583" spans="1:3" x14ac:dyDescent="0.25">
      <c r="A583" t="str">
        <f>"01D31 "</f>
        <v xml:space="preserve">01D31 </v>
      </c>
      <c r="B583" t="s">
        <v>1161</v>
      </c>
      <c r="C583" t="s">
        <v>1162</v>
      </c>
    </row>
    <row r="584" spans="1:3" x14ac:dyDescent="0.25">
      <c r="A584" t="str">
        <f>"01D32 "</f>
        <v xml:space="preserve">01D32 </v>
      </c>
      <c r="B584" t="s">
        <v>1163</v>
      </c>
      <c r="C584" t="s">
        <v>1164</v>
      </c>
    </row>
    <row r="585" spans="1:3" x14ac:dyDescent="0.25">
      <c r="A585" t="str">
        <f>"01D33 "</f>
        <v xml:space="preserve">01D33 </v>
      </c>
      <c r="B585" t="s">
        <v>1165</v>
      </c>
      <c r="C585" t="s">
        <v>1166</v>
      </c>
    </row>
    <row r="586" spans="1:3" x14ac:dyDescent="0.25">
      <c r="A586" t="str">
        <f>"01D41 "</f>
        <v xml:space="preserve">01D41 </v>
      </c>
      <c r="B586" t="s">
        <v>1167</v>
      </c>
      <c r="C586" t="s">
        <v>1168</v>
      </c>
    </row>
    <row r="587" spans="1:3" x14ac:dyDescent="0.25">
      <c r="A587" t="str">
        <f>"01D42 "</f>
        <v xml:space="preserve">01D42 </v>
      </c>
      <c r="B587" t="s">
        <v>1169</v>
      </c>
      <c r="C587" t="s">
        <v>1170</v>
      </c>
    </row>
    <row r="588" spans="1:3" x14ac:dyDescent="0.25">
      <c r="A588" t="str">
        <f>"01D43 "</f>
        <v xml:space="preserve">01D43 </v>
      </c>
      <c r="B588" t="s">
        <v>1171</v>
      </c>
      <c r="C588" t="s">
        <v>1172</v>
      </c>
    </row>
    <row r="589" spans="1:3" x14ac:dyDescent="0.25">
      <c r="A589" t="str">
        <f>"01D51 "</f>
        <v xml:space="preserve">01D51 </v>
      </c>
      <c r="B589" t="s">
        <v>1173</v>
      </c>
      <c r="C589" t="s">
        <v>1174</v>
      </c>
    </row>
    <row r="590" spans="1:3" x14ac:dyDescent="0.25">
      <c r="A590" t="str">
        <f>"01D61 "</f>
        <v xml:space="preserve">01D61 </v>
      </c>
      <c r="B590" t="s">
        <v>1175</v>
      </c>
      <c r="C590" t="s">
        <v>1176</v>
      </c>
    </row>
    <row r="591" spans="1:3" x14ac:dyDescent="0.25">
      <c r="A591" t="str">
        <f>"01D71 "</f>
        <v xml:space="preserve">01D71 </v>
      </c>
      <c r="B591" t="s">
        <v>1177</v>
      </c>
      <c r="C591" t="s">
        <v>1178</v>
      </c>
    </row>
    <row r="592" spans="1:3" x14ac:dyDescent="0.25">
      <c r="A592" t="str">
        <f>"01D81 "</f>
        <v xml:space="preserve">01D81 </v>
      </c>
      <c r="B592" t="s">
        <v>1179</v>
      </c>
      <c r="C592" t="s">
        <v>1180</v>
      </c>
    </row>
    <row r="593" spans="1:3" x14ac:dyDescent="0.25">
      <c r="A593" t="str">
        <f>"01D91 "</f>
        <v xml:space="preserve">01D91 </v>
      </c>
      <c r="B593" t="s">
        <v>1181</v>
      </c>
      <c r="C593" t="s">
        <v>1182</v>
      </c>
    </row>
    <row r="594" spans="1:3" x14ac:dyDescent="0.25">
      <c r="A594" t="str">
        <f>"01D910"</f>
        <v>01D910</v>
      </c>
      <c r="B594" t="s">
        <v>1183</v>
      </c>
      <c r="C594" t="s">
        <v>1184</v>
      </c>
    </row>
    <row r="595" spans="1:3" x14ac:dyDescent="0.25">
      <c r="A595" t="str">
        <f>"01D911"</f>
        <v>01D911</v>
      </c>
      <c r="B595" t="s">
        <v>1185</v>
      </c>
      <c r="C595" t="s">
        <v>1186</v>
      </c>
    </row>
    <row r="596" spans="1:3" x14ac:dyDescent="0.25">
      <c r="A596" t="str">
        <f>"01D912"</f>
        <v>01D912</v>
      </c>
      <c r="B596" t="s">
        <v>1187</v>
      </c>
      <c r="C596" t="s">
        <v>1188</v>
      </c>
    </row>
    <row r="597" spans="1:3" x14ac:dyDescent="0.25">
      <c r="A597" t="str">
        <f>"01D913"</f>
        <v>01D913</v>
      </c>
      <c r="B597" t="s">
        <v>1189</v>
      </c>
      <c r="C597" t="s">
        <v>1190</v>
      </c>
    </row>
    <row r="598" spans="1:3" x14ac:dyDescent="0.25">
      <c r="A598" t="str">
        <f>"01D914"</f>
        <v>01D914</v>
      </c>
      <c r="B598" t="s">
        <v>1191</v>
      </c>
      <c r="C598" t="s">
        <v>1192</v>
      </c>
    </row>
    <row r="599" spans="1:3" x14ac:dyDescent="0.25">
      <c r="A599" t="str">
        <f>"01D915"</f>
        <v>01D915</v>
      </c>
      <c r="B599" t="s">
        <v>1193</v>
      </c>
      <c r="C599" t="s">
        <v>1194</v>
      </c>
    </row>
    <row r="600" spans="1:3" x14ac:dyDescent="0.25">
      <c r="A600" t="str">
        <f>"01D92 "</f>
        <v xml:space="preserve">01D92 </v>
      </c>
      <c r="B600" t="s">
        <v>1195</v>
      </c>
      <c r="C600" t="s">
        <v>1196</v>
      </c>
    </row>
    <row r="601" spans="1:3" x14ac:dyDescent="0.25">
      <c r="A601" t="str">
        <f>"01D93 "</f>
        <v xml:space="preserve">01D93 </v>
      </c>
      <c r="B601" t="s">
        <v>1197</v>
      </c>
      <c r="C601" t="s">
        <v>1198</v>
      </c>
    </row>
    <row r="602" spans="1:3" x14ac:dyDescent="0.25">
      <c r="A602" t="str">
        <f>"01D94 "</f>
        <v xml:space="preserve">01D94 </v>
      </c>
      <c r="B602" t="s">
        <v>1199</v>
      </c>
      <c r="C602" t="s">
        <v>1200</v>
      </c>
    </row>
    <row r="603" spans="1:3" x14ac:dyDescent="0.25">
      <c r="A603" t="str">
        <f>"01D95 "</f>
        <v xml:space="preserve">01D95 </v>
      </c>
      <c r="B603" t="s">
        <v>1201</v>
      </c>
      <c r="C603" t="s">
        <v>1202</v>
      </c>
    </row>
    <row r="604" spans="1:3" x14ac:dyDescent="0.25">
      <c r="A604" t="str">
        <f>"01D96 "</f>
        <v xml:space="preserve">01D96 </v>
      </c>
      <c r="B604" t="s">
        <v>1203</v>
      </c>
      <c r="C604" t="s">
        <v>1204</v>
      </c>
    </row>
    <row r="605" spans="1:3" x14ac:dyDescent="0.25">
      <c r="A605" t="str">
        <f>"01D97 "</f>
        <v xml:space="preserve">01D97 </v>
      </c>
      <c r="B605" t="s">
        <v>1205</v>
      </c>
      <c r="C605" t="s">
        <v>1206</v>
      </c>
    </row>
    <row r="606" spans="1:3" x14ac:dyDescent="0.25">
      <c r="A606" t="str">
        <f>"01D98 "</f>
        <v xml:space="preserve">01D98 </v>
      </c>
      <c r="B606" t="s">
        <v>1207</v>
      </c>
      <c r="C606" t="s">
        <v>1208</v>
      </c>
    </row>
    <row r="607" spans="1:3" x14ac:dyDescent="0.25">
      <c r="A607" t="str">
        <f>"01D99 "</f>
        <v xml:space="preserve">01D99 </v>
      </c>
      <c r="B607" t="s">
        <v>1209</v>
      </c>
      <c r="C607" t="s">
        <v>1210</v>
      </c>
    </row>
    <row r="608" spans="1:3" x14ac:dyDescent="0.25">
      <c r="A608" t="str">
        <f>"01DA1 "</f>
        <v xml:space="preserve">01DA1 </v>
      </c>
      <c r="B608" t="s">
        <v>1211</v>
      </c>
      <c r="C608" t="s">
        <v>1212</v>
      </c>
    </row>
    <row r="609" spans="1:3" x14ac:dyDescent="0.25">
      <c r="A609" t="str">
        <f>"01DA2 "</f>
        <v xml:space="preserve">01DA2 </v>
      </c>
      <c r="B609" t="s">
        <v>1213</v>
      </c>
      <c r="C609" t="s">
        <v>1214</v>
      </c>
    </row>
    <row r="610" spans="1:3" x14ac:dyDescent="0.25">
      <c r="A610" t="str">
        <f>"01DA3 "</f>
        <v xml:space="preserve">01DA3 </v>
      </c>
      <c r="B610" t="s">
        <v>1215</v>
      </c>
      <c r="C610" t="s">
        <v>1216</v>
      </c>
    </row>
    <row r="611" spans="1:3" x14ac:dyDescent="0.25">
      <c r="A611" t="str">
        <f>"01DA4 "</f>
        <v xml:space="preserve">01DA4 </v>
      </c>
      <c r="B611" t="s">
        <v>1217</v>
      </c>
      <c r="C611" t="s">
        <v>1218</v>
      </c>
    </row>
    <row r="612" spans="1:3" x14ac:dyDescent="0.25">
      <c r="A612" t="str">
        <f>"01DB1 "</f>
        <v xml:space="preserve">01DB1 </v>
      </c>
      <c r="B612" t="s">
        <v>1219</v>
      </c>
      <c r="C612" t="s">
        <v>1220</v>
      </c>
    </row>
    <row r="613" spans="1:3" x14ac:dyDescent="0.25">
      <c r="A613" t="str">
        <f>"01DB2 "</f>
        <v xml:space="preserve">01DB2 </v>
      </c>
      <c r="B613" t="s">
        <v>1221</v>
      </c>
      <c r="C613" t="s">
        <v>1222</v>
      </c>
    </row>
    <row r="614" spans="1:3" x14ac:dyDescent="0.25">
      <c r="A614" t="str">
        <f>"01DE1 "</f>
        <v xml:space="preserve">01DE1 </v>
      </c>
      <c r="B614" t="s">
        <v>1223</v>
      </c>
      <c r="C614" t="s">
        <v>1224</v>
      </c>
    </row>
    <row r="615" spans="1:3" x14ac:dyDescent="0.25">
      <c r="A615" t="str">
        <f>"01DE2 "</f>
        <v xml:space="preserve">01DE2 </v>
      </c>
      <c r="B615" t="s">
        <v>1225</v>
      </c>
      <c r="C615" t="s">
        <v>1226</v>
      </c>
    </row>
    <row r="616" spans="1:3" x14ac:dyDescent="0.25">
      <c r="A616" t="str">
        <f>"01DE3 "</f>
        <v xml:space="preserve">01DE3 </v>
      </c>
      <c r="B616" t="s">
        <v>1227</v>
      </c>
      <c r="C616" t="s">
        <v>1228</v>
      </c>
    </row>
    <row r="617" spans="1:3" x14ac:dyDescent="0.25">
      <c r="A617" t="str">
        <f>"01DE4 "</f>
        <v xml:space="preserve">01DE4 </v>
      </c>
      <c r="B617" t="s">
        <v>1229</v>
      </c>
      <c r="C617" t="s">
        <v>1230</v>
      </c>
    </row>
    <row r="618" spans="1:3" x14ac:dyDescent="0.25">
      <c r="A618" t="str">
        <f>"01DF1 "</f>
        <v xml:space="preserve">01DF1 </v>
      </c>
      <c r="B618" t="s">
        <v>1231</v>
      </c>
      <c r="C618" t="s">
        <v>1232</v>
      </c>
    </row>
    <row r="619" spans="1:3" x14ac:dyDescent="0.25">
      <c r="A619" t="str">
        <f>"01DF2 "</f>
        <v xml:space="preserve">01DF2 </v>
      </c>
      <c r="B619" t="s">
        <v>1233</v>
      </c>
      <c r="C619" t="s">
        <v>1234</v>
      </c>
    </row>
    <row r="620" spans="1:3" x14ac:dyDescent="0.25">
      <c r="A620" t="str">
        <f>"01DG1 "</f>
        <v xml:space="preserve">01DG1 </v>
      </c>
      <c r="B620" t="s">
        <v>1235</v>
      </c>
      <c r="C620" t="s">
        <v>1236</v>
      </c>
    </row>
    <row r="621" spans="1:3" x14ac:dyDescent="0.25">
      <c r="A621" t="str">
        <f>"01DG2 "</f>
        <v xml:space="preserve">01DG2 </v>
      </c>
      <c r="B621" t="s">
        <v>1237</v>
      </c>
      <c r="C621" t="s">
        <v>1238</v>
      </c>
    </row>
    <row r="622" spans="1:3" x14ac:dyDescent="0.25">
      <c r="A622" t="str">
        <f>"01DH1 "</f>
        <v xml:space="preserve">01DH1 </v>
      </c>
      <c r="B622" t="s">
        <v>1239</v>
      </c>
      <c r="C622" t="s">
        <v>1240</v>
      </c>
    </row>
    <row r="623" spans="1:3" x14ac:dyDescent="0.25">
      <c r="A623" t="str">
        <f>"01DH2 "</f>
        <v xml:space="preserve">01DH2 </v>
      </c>
      <c r="B623" t="s">
        <v>1241</v>
      </c>
      <c r="C623" t="s">
        <v>1242</v>
      </c>
    </row>
    <row r="624" spans="1:3" x14ac:dyDescent="0.25">
      <c r="A624" t="str">
        <f>"01DH3 "</f>
        <v xml:space="preserve">01DH3 </v>
      </c>
      <c r="B624" t="s">
        <v>1243</v>
      </c>
      <c r="C624" t="s">
        <v>1244</v>
      </c>
    </row>
    <row r="625" spans="1:3" x14ac:dyDescent="0.25">
      <c r="A625" t="str">
        <f>"01DI1 "</f>
        <v xml:space="preserve">01DI1 </v>
      </c>
      <c r="B625" t="s">
        <v>1245</v>
      </c>
      <c r="C625" t="s">
        <v>1246</v>
      </c>
    </row>
    <row r="626" spans="1:3" x14ac:dyDescent="0.25">
      <c r="A626" t="str">
        <f>"01DI2 "</f>
        <v xml:space="preserve">01DI2 </v>
      </c>
      <c r="B626" t="s">
        <v>1247</v>
      </c>
      <c r="C626" t="s">
        <v>1248</v>
      </c>
    </row>
    <row r="627" spans="1:3" x14ac:dyDescent="0.25">
      <c r="A627" t="str">
        <f>"01DI3 "</f>
        <v xml:space="preserve">01DI3 </v>
      </c>
      <c r="B627" t="s">
        <v>1249</v>
      </c>
      <c r="C627" t="s">
        <v>1250</v>
      </c>
    </row>
    <row r="628" spans="1:3" x14ac:dyDescent="0.25">
      <c r="A628" t="str">
        <f>"01DK1 "</f>
        <v xml:space="preserve">01DK1 </v>
      </c>
      <c r="B628" t="s">
        <v>1251</v>
      </c>
      <c r="C628" t="s">
        <v>1252</v>
      </c>
    </row>
    <row r="629" spans="1:3" x14ac:dyDescent="0.25">
      <c r="A629" t="str">
        <f>"01DK2 "</f>
        <v xml:space="preserve">01DK2 </v>
      </c>
      <c r="B629" t="s">
        <v>1253</v>
      </c>
      <c r="C629" t="s">
        <v>1254</v>
      </c>
    </row>
    <row r="630" spans="1:3" x14ac:dyDescent="0.25">
      <c r="A630" t="str">
        <f>"01DK3 "</f>
        <v xml:space="preserve">01DK3 </v>
      </c>
      <c r="B630" t="s">
        <v>1255</v>
      </c>
      <c r="C630" t="s">
        <v>1256</v>
      </c>
    </row>
    <row r="631" spans="1:3" x14ac:dyDescent="0.25">
      <c r="A631" t="str">
        <f>"01DM1 "</f>
        <v xml:space="preserve">01DM1 </v>
      </c>
      <c r="B631" t="s">
        <v>1257</v>
      </c>
      <c r="C631" t="s">
        <v>1258</v>
      </c>
    </row>
    <row r="632" spans="1:3" x14ac:dyDescent="0.25">
      <c r="A632" t="str">
        <f>"01DM2 "</f>
        <v xml:space="preserve">01DM2 </v>
      </c>
      <c r="B632" t="s">
        <v>1259</v>
      </c>
      <c r="C632" t="s">
        <v>1260</v>
      </c>
    </row>
    <row r="633" spans="1:3" x14ac:dyDescent="0.25">
      <c r="A633" t="str">
        <f>"01DM3 "</f>
        <v xml:space="preserve">01DM3 </v>
      </c>
      <c r="B633" t="s">
        <v>1261</v>
      </c>
      <c r="C633" t="s">
        <v>1262</v>
      </c>
    </row>
    <row r="634" spans="1:3" x14ac:dyDescent="0.25">
      <c r="A634" t="str">
        <f>"01DM4 "</f>
        <v xml:space="preserve">01DM4 </v>
      </c>
      <c r="B634" t="s">
        <v>1263</v>
      </c>
      <c r="C634" t="s">
        <v>1264</v>
      </c>
    </row>
    <row r="635" spans="1:3" x14ac:dyDescent="0.25">
      <c r="A635" t="str">
        <f>"01DM5 "</f>
        <v xml:space="preserve">01DM5 </v>
      </c>
      <c r="B635" t="s">
        <v>1265</v>
      </c>
      <c r="C635" t="s">
        <v>1266</v>
      </c>
    </row>
    <row r="636" spans="1:3" x14ac:dyDescent="0.25">
      <c r="A636" t="str">
        <f>"01DN1 "</f>
        <v xml:space="preserve">01DN1 </v>
      </c>
      <c r="B636" t="s">
        <v>1267</v>
      </c>
      <c r="C636" t="s">
        <v>1268</v>
      </c>
    </row>
    <row r="637" spans="1:3" x14ac:dyDescent="0.25">
      <c r="A637" t="str">
        <f>"01DN2 "</f>
        <v xml:space="preserve">01DN2 </v>
      </c>
      <c r="B637" t="s">
        <v>1269</v>
      </c>
      <c r="C637" t="s">
        <v>1270</v>
      </c>
    </row>
    <row r="638" spans="1:3" x14ac:dyDescent="0.25">
      <c r="A638" t="str">
        <f>"01DN3 "</f>
        <v xml:space="preserve">01DN3 </v>
      </c>
      <c r="B638" t="s">
        <v>1271</v>
      </c>
      <c r="C638" t="s">
        <v>1272</v>
      </c>
    </row>
    <row r="639" spans="1:3" x14ac:dyDescent="0.25">
      <c r="A639" t="str">
        <f>"01DN4 "</f>
        <v xml:space="preserve">01DN4 </v>
      </c>
      <c r="B639" t="s">
        <v>1273</v>
      </c>
      <c r="C639" t="s">
        <v>1274</v>
      </c>
    </row>
    <row r="640" spans="1:3" x14ac:dyDescent="0.25">
      <c r="A640" t="str">
        <f>"01DN5 "</f>
        <v xml:space="preserve">01DN5 </v>
      </c>
      <c r="B640" t="s">
        <v>1275</v>
      </c>
      <c r="C640" t="s">
        <v>1276</v>
      </c>
    </row>
    <row r="641" spans="1:3" x14ac:dyDescent="0.25">
      <c r="A641" t="str">
        <f>"01DN6 "</f>
        <v xml:space="preserve">01DN6 </v>
      </c>
      <c r="B641" t="s">
        <v>1277</v>
      </c>
      <c r="C641" t="s">
        <v>1278</v>
      </c>
    </row>
    <row r="642" spans="1:3" x14ac:dyDescent="0.25">
      <c r="A642" t="str">
        <f>"01DP1 "</f>
        <v xml:space="preserve">01DP1 </v>
      </c>
      <c r="B642" t="s">
        <v>1279</v>
      </c>
      <c r="C642" t="s">
        <v>1280</v>
      </c>
    </row>
    <row r="643" spans="1:3" x14ac:dyDescent="0.25">
      <c r="A643" t="str">
        <f>"01DP2 "</f>
        <v xml:space="preserve">01DP2 </v>
      </c>
      <c r="B643" t="s">
        <v>1281</v>
      </c>
      <c r="C643" t="s">
        <v>1282</v>
      </c>
    </row>
    <row r="644" spans="1:3" x14ac:dyDescent="0.25">
      <c r="A644" t="str">
        <f>"01DP3 "</f>
        <v xml:space="preserve">01DP3 </v>
      </c>
      <c r="B644" t="s">
        <v>1283</v>
      </c>
      <c r="C644" t="s">
        <v>1284</v>
      </c>
    </row>
    <row r="645" spans="1:3" x14ac:dyDescent="0.25">
      <c r="A645" t="str">
        <f>"01DP4 "</f>
        <v xml:space="preserve">01DP4 </v>
      </c>
      <c r="B645" t="s">
        <v>1285</v>
      </c>
      <c r="C645" t="s">
        <v>1286</v>
      </c>
    </row>
    <row r="646" spans="1:3" x14ac:dyDescent="0.25">
      <c r="A646" t="str">
        <f>"01DP5 "</f>
        <v xml:space="preserve">01DP5 </v>
      </c>
      <c r="B646" t="s">
        <v>1287</v>
      </c>
      <c r="C646" t="s">
        <v>1288</v>
      </c>
    </row>
    <row r="647" spans="1:3" x14ac:dyDescent="0.25">
      <c r="A647" t="str">
        <f>"01DP6 "</f>
        <v xml:space="preserve">01DP6 </v>
      </c>
      <c r="B647" t="s">
        <v>1289</v>
      </c>
      <c r="C647" t="s">
        <v>1290</v>
      </c>
    </row>
    <row r="648" spans="1:3" x14ac:dyDescent="0.25">
      <c r="A648" t="str">
        <f>"01DQ1 "</f>
        <v xml:space="preserve">01DQ1 </v>
      </c>
      <c r="B648" t="s">
        <v>1291</v>
      </c>
      <c r="C648" t="s">
        <v>1292</v>
      </c>
    </row>
    <row r="649" spans="1:3" x14ac:dyDescent="0.25">
      <c r="A649" t="str">
        <f>"01DQ2 "</f>
        <v xml:space="preserve">01DQ2 </v>
      </c>
      <c r="B649" t="s">
        <v>1293</v>
      </c>
      <c r="C649" t="s">
        <v>1294</v>
      </c>
    </row>
    <row r="650" spans="1:3" x14ac:dyDescent="0.25">
      <c r="A650" t="str">
        <f>"01DQ3 "</f>
        <v xml:space="preserve">01DQ3 </v>
      </c>
      <c r="B650" t="s">
        <v>1295</v>
      </c>
      <c r="C650" t="s">
        <v>1296</v>
      </c>
    </row>
    <row r="651" spans="1:3" x14ac:dyDescent="0.25">
      <c r="A651" t="str">
        <f>"01DQ4 "</f>
        <v xml:space="preserve">01DQ4 </v>
      </c>
      <c r="B651" t="s">
        <v>1297</v>
      </c>
      <c r="C651" t="s">
        <v>1298</v>
      </c>
    </row>
    <row r="652" spans="1:3" x14ac:dyDescent="0.25">
      <c r="A652" t="str">
        <f>"01DR1 "</f>
        <v xml:space="preserve">01DR1 </v>
      </c>
      <c r="B652" t="s">
        <v>1299</v>
      </c>
      <c r="C652" t="s">
        <v>1300</v>
      </c>
    </row>
    <row r="653" spans="1:3" x14ac:dyDescent="0.25">
      <c r="A653" t="str">
        <f>"01DR2 "</f>
        <v xml:space="preserve">01DR2 </v>
      </c>
      <c r="B653" t="s">
        <v>1301</v>
      </c>
      <c r="C653" t="s">
        <v>1302</v>
      </c>
    </row>
    <row r="654" spans="1:3" x14ac:dyDescent="0.25">
      <c r="A654" t="str">
        <f>"01DS1 "</f>
        <v xml:space="preserve">01DS1 </v>
      </c>
      <c r="B654" t="s">
        <v>1303</v>
      </c>
      <c r="C654" t="s">
        <v>1304</v>
      </c>
    </row>
    <row r="655" spans="1:3" x14ac:dyDescent="0.25">
      <c r="A655" t="str">
        <f>"01DS2 "</f>
        <v xml:space="preserve">01DS2 </v>
      </c>
      <c r="B655" t="s">
        <v>1305</v>
      </c>
      <c r="C655" t="s">
        <v>1306</v>
      </c>
    </row>
    <row r="656" spans="1:3" x14ac:dyDescent="0.25">
      <c r="A656" t="str">
        <f>"01DS3 "</f>
        <v xml:space="preserve">01DS3 </v>
      </c>
      <c r="B656" t="s">
        <v>1307</v>
      </c>
      <c r="C656" t="s">
        <v>1308</v>
      </c>
    </row>
    <row r="657" spans="1:3" x14ac:dyDescent="0.25">
      <c r="A657" t="str">
        <f>"01DS4 "</f>
        <v xml:space="preserve">01DS4 </v>
      </c>
      <c r="B657" t="s">
        <v>1309</v>
      </c>
      <c r="C657" t="s">
        <v>1310</v>
      </c>
    </row>
    <row r="658" spans="1:3" x14ac:dyDescent="0.25">
      <c r="A658" t="str">
        <f>"01DT1 "</f>
        <v xml:space="preserve">01DT1 </v>
      </c>
      <c r="B658" t="s">
        <v>1311</v>
      </c>
      <c r="C658" t="s">
        <v>1312</v>
      </c>
    </row>
    <row r="659" spans="1:3" x14ac:dyDescent="0.25">
      <c r="A659" t="str">
        <f>"01DT2 "</f>
        <v xml:space="preserve">01DT2 </v>
      </c>
      <c r="B659" t="s">
        <v>1313</v>
      </c>
      <c r="C659" t="s">
        <v>1314</v>
      </c>
    </row>
    <row r="660" spans="1:3" x14ac:dyDescent="0.25">
      <c r="A660" t="str">
        <f>"01DU1 "</f>
        <v xml:space="preserve">01DU1 </v>
      </c>
      <c r="B660" t="s">
        <v>1315</v>
      </c>
      <c r="C660" t="s">
        <v>1316</v>
      </c>
    </row>
    <row r="661" spans="1:3" x14ac:dyDescent="0.25">
      <c r="A661" t="str">
        <f>"01DU2 "</f>
        <v xml:space="preserve">01DU2 </v>
      </c>
      <c r="B661" t="s">
        <v>1317</v>
      </c>
      <c r="C661" t="s">
        <v>1318</v>
      </c>
    </row>
    <row r="662" spans="1:3" x14ac:dyDescent="0.25">
      <c r="A662" t="str">
        <f>"01DV1 "</f>
        <v xml:space="preserve">01DV1 </v>
      </c>
      <c r="B662" t="s">
        <v>1319</v>
      </c>
      <c r="C662" t="s">
        <v>1320</v>
      </c>
    </row>
    <row r="663" spans="1:3" x14ac:dyDescent="0.25">
      <c r="A663" t="str">
        <f>"01DW1 "</f>
        <v xml:space="preserve">01DW1 </v>
      </c>
      <c r="B663" t="s">
        <v>1321</v>
      </c>
      <c r="C663" t="s">
        <v>1322</v>
      </c>
    </row>
    <row r="664" spans="1:3" x14ac:dyDescent="0.25">
      <c r="A664" t="str">
        <f>"01DW2 "</f>
        <v xml:space="preserve">01DW2 </v>
      </c>
      <c r="B664" t="s">
        <v>1323</v>
      </c>
      <c r="C664" t="s">
        <v>1324</v>
      </c>
    </row>
    <row r="665" spans="1:3" x14ac:dyDescent="0.25">
      <c r="A665" t="str">
        <f>"01DX1 "</f>
        <v xml:space="preserve">01DX1 </v>
      </c>
      <c r="B665" t="s">
        <v>1325</v>
      </c>
      <c r="C665" t="s">
        <v>1326</v>
      </c>
    </row>
    <row r="666" spans="1:3" x14ac:dyDescent="0.25">
      <c r="A666" t="str">
        <f>"01DX2 "</f>
        <v xml:space="preserve">01DX2 </v>
      </c>
      <c r="B666" t="s">
        <v>1327</v>
      </c>
      <c r="C666" t="s">
        <v>1328</v>
      </c>
    </row>
    <row r="667" spans="1:3" x14ac:dyDescent="0.25">
      <c r="A667" t="str">
        <f>"01DY1 "</f>
        <v xml:space="preserve">01DY1 </v>
      </c>
      <c r="B667" t="s">
        <v>1329</v>
      </c>
      <c r="C667" t="s">
        <v>1330</v>
      </c>
    </row>
    <row r="668" spans="1:3" x14ac:dyDescent="0.25">
      <c r="A668" t="str">
        <f>"01DY2 "</f>
        <v xml:space="preserve">01DY2 </v>
      </c>
      <c r="B668" t="s">
        <v>1331</v>
      </c>
      <c r="C668" t="s">
        <v>1332</v>
      </c>
    </row>
    <row r="669" spans="1:3" x14ac:dyDescent="0.25">
      <c r="A669" t="str">
        <f>"01DY3 "</f>
        <v xml:space="preserve">01DY3 </v>
      </c>
      <c r="B669" t="s">
        <v>1333</v>
      </c>
      <c r="C669" t="s">
        <v>1334</v>
      </c>
    </row>
    <row r="670" spans="1:3" x14ac:dyDescent="0.25">
      <c r="A670" t="str">
        <f>"01DY4 "</f>
        <v xml:space="preserve">01DY4 </v>
      </c>
      <c r="B670" t="s">
        <v>1335</v>
      </c>
      <c r="C670" t="s">
        <v>1336</v>
      </c>
    </row>
    <row r="671" spans="1:3" x14ac:dyDescent="0.25">
      <c r="A671" t="str">
        <f>"01DY4R"</f>
        <v>01DY4R</v>
      </c>
      <c r="B671" t="s">
        <v>1337</v>
      </c>
      <c r="C671" t="s">
        <v>1338</v>
      </c>
    </row>
    <row r="672" spans="1:3" x14ac:dyDescent="0.25">
      <c r="A672" t="str">
        <f>"01DY5 "</f>
        <v xml:space="preserve">01DY5 </v>
      </c>
      <c r="B672" t="s">
        <v>1339</v>
      </c>
      <c r="C672" t="s">
        <v>1340</v>
      </c>
    </row>
    <row r="673" spans="1:3" x14ac:dyDescent="0.25">
      <c r="A673" t="str">
        <f>"01DZ1 "</f>
        <v xml:space="preserve">01DZ1 </v>
      </c>
      <c r="B673" t="s">
        <v>1341</v>
      </c>
      <c r="C673" t="s">
        <v>1342</v>
      </c>
    </row>
    <row r="674" spans="1:3" x14ac:dyDescent="0.25">
      <c r="A674" t="str">
        <f>"01DZ2 "</f>
        <v xml:space="preserve">01DZ2 </v>
      </c>
      <c r="B674" t="s">
        <v>1343</v>
      </c>
      <c r="C674" t="s">
        <v>1344</v>
      </c>
    </row>
    <row r="675" spans="1:3" x14ac:dyDescent="0.25">
      <c r="A675" t="str">
        <f>"01DZ3 "</f>
        <v xml:space="preserve">01DZ3 </v>
      </c>
      <c r="B675" t="s">
        <v>1345</v>
      </c>
      <c r="C675" t="s">
        <v>1346</v>
      </c>
    </row>
    <row r="676" spans="1:3" x14ac:dyDescent="0.25">
      <c r="A676" t="str">
        <f>"01DZ4 "</f>
        <v xml:space="preserve">01DZ4 </v>
      </c>
      <c r="B676" t="s">
        <v>1347</v>
      </c>
      <c r="C676" t="s">
        <v>1348</v>
      </c>
    </row>
    <row r="677" spans="1:3" x14ac:dyDescent="0.25">
      <c r="A677" t="str">
        <f>"01E11 "</f>
        <v xml:space="preserve">01E11 </v>
      </c>
      <c r="B677" t="s">
        <v>1349</v>
      </c>
      <c r="C677" t="s">
        <v>1350</v>
      </c>
    </row>
    <row r="678" spans="1:3" x14ac:dyDescent="0.25">
      <c r="A678" t="str">
        <f>"01E21 "</f>
        <v xml:space="preserve">01E21 </v>
      </c>
      <c r="B678" t="s">
        <v>1351</v>
      </c>
      <c r="C678" t="s">
        <v>1352</v>
      </c>
    </row>
    <row r="679" spans="1:3" x14ac:dyDescent="0.25">
      <c r="A679" t="str">
        <f>"01E31 "</f>
        <v xml:space="preserve">01E31 </v>
      </c>
      <c r="B679" t="s">
        <v>1353</v>
      </c>
      <c r="C679" t="s">
        <v>1354</v>
      </c>
    </row>
    <row r="680" spans="1:3" x14ac:dyDescent="0.25">
      <c r="A680" t="str">
        <f>"01E32 "</f>
        <v xml:space="preserve">01E32 </v>
      </c>
      <c r="B680" t="s">
        <v>1355</v>
      </c>
      <c r="C680" t="s">
        <v>1356</v>
      </c>
    </row>
    <row r="681" spans="1:3" x14ac:dyDescent="0.25">
      <c r="A681" t="str">
        <f>"01E33 "</f>
        <v xml:space="preserve">01E33 </v>
      </c>
      <c r="B681" t="s">
        <v>1357</v>
      </c>
      <c r="C681" t="s">
        <v>1358</v>
      </c>
    </row>
    <row r="682" spans="1:3" x14ac:dyDescent="0.25">
      <c r="A682" t="str">
        <f>"01E34 "</f>
        <v xml:space="preserve">01E34 </v>
      </c>
      <c r="B682" t="s">
        <v>1359</v>
      </c>
      <c r="C682" t="s">
        <v>1360</v>
      </c>
    </row>
    <row r="683" spans="1:3" x14ac:dyDescent="0.25">
      <c r="A683" t="str">
        <f>"01E35 "</f>
        <v xml:space="preserve">01E35 </v>
      </c>
      <c r="B683" t="s">
        <v>1361</v>
      </c>
      <c r="C683" t="s">
        <v>1362</v>
      </c>
    </row>
    <row r="684" spans="1:3" x14ac:dyDescent="0.25">
      <c r="A684" t="str">
        <f>"01E36 "</f>
        <v xml:space="preserve">01E36 </v>
      </c>
      <c r="B684" t="s">
        <v>1363</v>
      </c>
      <c r="C684" t="s">
        <v>1364</v>
      </c>
    </row>
    <row r="685" spans="1:3" x14ac:dyDescent="0.25">
      <c r="A685" t="str">
        <f>"99991 "</f>
        <v xml:space="preserve">99991 </v>
      </c>
      <c r="B685" t="s">
        <v>1365</v>
      </c>
      <c r="C685" t="s">
        <v>1366</v>
      </c>
    </row>
    <row r="686" spans="1:3" x14ac:dyDescent="0.25">
      <c r="A686" t="str">
        <f>"99993 "</f>
        <v xml:space="preserve">99993 </v>
      </c>
      <c r="B686" t="s">
        <v>1367</v>
      </c>
      <c r="C686" t="s">
        <v>1368</v>
      </c>
    </row>
    <row r="687" spans="1:3" x14ac:dyDescent="0.25">
      <c r="A687" t="str">
        <f>"99994 "</f>
        <v xml:space="preserve">99994 </v>
      </c>
      <c r="B687" t="s">
        <v>1369</v>
      </c>
      <c r="C687" t="s">
        <v>1370</v>
      </c>
    </row>
    <row r="688" spans="1:3" x14ac:dyDescent="0.25">
      <c r="A688" t="str">
        <f>"02001 "</f>
        <v xml:space="preserve">02001 </v>
      </c>
      <c r="B688" t="s">
        <v>1371</v>
      </c>
      <c r="C688" t="s">
        <v>1372</v>
      </c>
    </row>
    <row r="689" spans="1:3" x14ac:dyDescent="0.25">
      <c r="A689" t="str">
        <f>"99995 "</f>
        <v xml:space="preserve">99995 </v>
      </c>
      <c r="B689" t="s">
        <v>1373</v>
      </c>
      <c r="C689" t="s">
        <v>1374</v>
      </c>
    </row>
    <row r="690" spans="1:3" x14ac:dyDescent="0.25">
      <c r="A690" t="str">
        <f>"99996 "</f>
        <v xml:space="preserve">99996 </v>
      </c>
      <c r="B690" t="s">
        <v>1375</v>
      </c>
      <c r="C690" t="s">
        <v>1376</v>
      </c>
    </row>
    <row r="691" spans="1:3" x14ac:dyDescent="0.25">
      <c r="A691" t="str">
        <f>"99997 "</f>
        <v xml:space="preserve">99997 </v>
      </c>
      <c r="B691" t="s">
        <v>1377</v>
      </c>
      <c r="C691" t="s">
        <v>1378</v>
      </c>
    </row>
    <row r="692" spans="1:3" x14ac:dyDescent="0.25">
      <c r="A692" t="str">
        <f>"99999 "</f>
        <v xml:space="preserve">99999 </v>
      </c>
      <c r="B692" t="s">
        <v>1379</v>
      </c>
      <c r="C692" t="s">
        <v>1380</v>
      </c>
    </row>
    <row r="693" spans="1:3" x14ac:dyDescent="0.25">
      <c r="A693" t="str">
        <f>"81151 "</f>
        <v xml:space="preserve">81151 </v>
      </c>
      <c r="B693" t="s">
        <v>1381</v>
      </c>
      <c r="C693" t="s">
        <v>1382</v>
      </c>
    </row>
    <row r="694" spans="1:3" x14ac:dyDescent="0.25">
      <c r="A694" t="str">
        <f>"81141 "</f>
        <v xml:space="preserve">81141 </v>
      </c>
      <c r="B694" t="s">
        <v>1383</v>
      </c>
      <c r="C694" t="s">
        <v>1384</v>
      </c>
    </row>
    <row r="695" spans="1:3" x14ac:dyDescent="0.25">
      <c r="A695" t="str">
        <f>"81142 "</f>
        <v xml:space="preserve">81142 </v>
      </c>
      <c r="B695" t="s">
        <v>1385</v>
      </c>
      <c r="C695" t="s">
        <v>1386</v>
      </c>
    </row>
    <row r="696" spans="1:3" x14ac:dyDescent="0.25">
      <c r="A696" t="str">
        <f>"81149 "</f>
        <v xml:space="preserve">81149 </v>
      </c>
      <c r="B696" t="s">
        <v>1387</v>
      </c>
      <c r="C696" t="s">
        <v>1388</v>
      </c>
    </row>
    <row r="697" spans="1:3" x14ac:dyDescent="0.25">
      <c r="A697" t="str">
        <f>"81131 "</f>
        <v xml:space="preserve">81131 </v>
      </c>
      <c r="B697" t="s">
        <v>1389</v>
      </c>
      <c r="C697" t="s">
        <v>1390</v>
      </c>
    </row>
    <row r="698" spans="1:3" x14ac:dyDescent="0.25">
      <c r="A698" t="str">
        <f>"764534"</f>
        <v>764534</v>
      </c>
      <c r="B698" t="s">
        <v>1391</v>
      </c>
      <c r="C698" t="s">
        <v>1392</v>
      </c>
    </row>
    <row r="699" spans="1:3" x14ac:dyDescent="0.25">
      <c r="A699" t="str">
        <f>"761302"</f>
        <v>761302</v>
      </c>
      <c r="B699" t="s">
        <v>1393</v>
      </c>
      <c r="C699" t="s">
        <v>1394</v>
      </c>
    </row>
    <row r="700" spans="1:3" x14ac:dyDescent="0.25">
      <c r="A700" t="str">
        <f>"81001 "</f>
        <v xml:space="preserve">81001 </v>
      </c>
      <c r="B700" t="s">
        <v>1395</v>
      </c>
      <c r="C700" t="s">
        <v>1396</v>
      </c>
    </row>
    <row r="701" spans="1:3" x14ac:dyDescent="0.25">
      <c r="A701" t="str">
        <f>"81011 "</f>
        <v xml:space="preserve">81011 </v>
      </c>
      <c r="B701" t="s">
        <v>1397</v>
      </c>
      <c r="C701" t="s">
        <v>1398</v>
      </c>
    </row>
    <row r="702" spans="1:3" x14ac:dyDescent="0.25">
      <c r="A702" t="str">
        <f>"81021 "</f>
        <v xml:space="preserve">81021 </v>
      </c>
      <c r="B702" t="s">
        <v>1399</v>
      </c>
      <c r="C702" t="s">
        <v>1400</v>
      </c>
    </row>
    <row r="703" spans="1:3" x14ac:dyDescent="0.25">
      <c r="A703" t="str">
        <f>"81041 "</f>
        <v xml:space="preserve">81041 </v>
      </c>
      <c r="B703" t="s">
        <v>7</v>
      </c>
      <c r="C703" t="s">
        <v>1401</v>
      </c>
    </row>
    <row r="704" spans="1:3" x14ac:dyDescent="0.25">
      <c r="A704" t="str">
        <f>"81042 "</f>
        <v xml:space="preserve">81042 </v>
      </c>
      <c r="B704" t="s">
        <v>3</v>
      </c>
      <c r="C704" t="s">
        <v>4</v>
      </c>
    </row>
    <row r="705" spans="1:3" x14ac:dyDescent="0.25">
      <c r="A705" t="str">
        <f>"81043 "</f>
        <v xml:space="preserve">81043 </v>
      </c>
      <c r="B705" t="s">
        <v>5</v>
      </c>
      <c r="C705" t="s">
        <v>6</v>
      </c>
    </row>
    <row r="706" spans="1:3" x14ac:dyDescent="0.25">
      <c r="A706" t="str">
        <f>"81044 "</f>
        <v xml:space="preserve">81044 </v>
      </c>
      <c r="B706" t="s">
        <v>9</v>
      </c>
      <c r="C706" t="s">
        <v>10</v>
      </c>
    </row>
    <row r="707" spans="1:3" x14ac:dyDescent="0.25">
      <c r="A707" t="str">
        <f>"81045 "</f>
        <v xml:space="preserve">81045 </v>
      </c>
      <c r="B707" t="s">
        <v>11</v>
      </c>
      <c r="C707" t="s">
        <v>12</v>
      </c>
    </row>
    <row r="708" spans="1:3" x14ac:dyDescent="0.25">
      <c r="A708" t="str">
        <f>"81046 "</f>
        <v xml:space="preserve">81046 </v>
      </c>
      <c r="B708" t="s">
        <v>13</v>
      </c>
      <c r="C708" t="s">
        <v>14</v>
      </c>
    </row>
    <row r="709" spans="1:3" x14ac:dyDescent="0.25">
      <c r="A709" t="str">
        <f>"81051 "</f>
        <v xml:space="preserve">81051 </v>
      </c>
      <c r="B709" t="s">
        <v>1402</v>
      </c>
      <c r="C709" t="s">
        <v>1401</v>
      </c>
    </row>
    <row r="710" spans="1:3" x14ac:dyDescent="0.25">
      <c r="A710" t="str">
        <f>"81052 "</f>
        <v xml:space="preserve">81052 </v>
      </c>
      <c r="B710" t="s">
        <v>1403</v>
      </c>
      <c r="C710" t="s">
        <v>4</v>
      </c>
    </row>
    <row r="711" spans="1:3" x14ac:dyDescent="0.25">
      <c r="A711" t="str">
        <f>"81053 "</f>
        <v xml:space="preserve">81053 </v>
      </c>
      <c r="B711" t="s">
        <v>1404</v>
      </c>
      <c r="C711" t="s">
        <v>6</v>
      </c>
    </row>
    <row r="712" spans="1:3" x14ac:dyDescent="0.25">
      <c r="A712" t="str">
        <f>"81054 "</f>
        <v xml:space="preserve">81054 </v>
      </c>
      <c r="B712" t="s">
        <v>1405</v>
      </c>
      <c r="C712" t="s">
        <v>10</v>
      </c>
    </row>
    <row r="713" spans="1:3" x14ac:dyDescent="0.25">
      <c r="A713" t="str">
        <f>"81055 "</f>
        <v xml:space="preserve">81055 </v>
      </c>
      <c r="B713" t="s">
        <v>1406</v>
      </c>
      <c r="C713" t="s">
        <v>12</v>
      </c>
    </row>
    <row r="714" spans="1:3" x14ac:dyDescent="0.25">
      <c r="A714" t="str">
        <f>"81056 "</f>
        <v xml:space="preserve">81056 </v>
      </c>
      <c r="B714" t="s">
        <v>1407</v>
      </c>
      <c r="C714" t="s">
        <v>14</v>
      </c>
    </row>
    <row r="715" spans="1:3" x14ac:dyDescent="0.25">
      <c r="A715" t="str">
        <f>"81061 "</f>
        <v xml:space="preserve">81061 </v>
      </c>
      <c r="B715" t="s">
        <v>1408</v>
      </c>
      <c r="C715" t="s">
        <v>1409</v>
      </c>
    </row>
    <row r="716" spans="1:3" x14ac:dyDescent="0.25">
      <c r="A716" t="str">
        <f>"81071 "</f>
        <v xml:space="preserve">81071 </v>
      </c>
      <c r="B716" t="s">
        <v>1410</v>
      </c>
      <c r="C716" t="s">
        <v>1411</v>
      </c>
    </row>
    <row r="717" spans="1:3" x14ac:dyDescent="0.25">
      <c r="A717" t="str">
        <f>"89371 "</f>
        <v xml:space="preserve">89371 </v>
      </c>
      <c r="B717" t="s">
        <v>1412</v>
      </c>
      <c r="C717" t="s">
        <v>1413</v>
      </c>
    </row>
    <row r="718" spans="1:3" x14ac:dyDescent="0.25">
      <c r="A718" t="str">
        <f>"81072 "</f>
        <v xml:space="preserve">81072 </v>
      </c>
      <c r="B718" t="s">
        <v>1414</v>
      </c>
      <c r="C718" t="s">
        <v>1415</v>
      </c>
    </row>
    <row r="719" spans="1:3" x14ac:dyDescent="0.25">
      <c r="A719" t="str">
        <f>"81081 "</f>
        <v xml:space="preserve">81081 </v>
      </c>
      <c r="B719" t="s">
        <v>1416</v>
      </c>
      <c r="C719" t="s">
        <v>1417</v>
      </c>
    </row>
    <row r="720" spans="1:3" x14ac:dyDescent="0.25">
      <c r="A720" t="str">
        <f>"81099 "</f>
        <v xml:space="preserve">81099 </v>
      </c>
      <c r="B720" t="s">
        <v>1418</v>
      </c>
      <c r="C720" t="s">
        <v>1419</v>
      </c>
    </row>
    <row r="721" spans="1:3" x14ac:dyDescent="0.25">
      <c r="A721" t="str">
        <f>"81091 "</f>
        <v xml:space="preserve">81091 </v>
      </c>
      <c r="B721" t="s">
        <v>1420</v>
      </c>
      <c r="C721" t="s">
        <v>1421</v>
      </c>
    </row>
    <row r="722" spans="1:3" x14ac:dyDescent="0.25">
      <c r="A722" t="str">
        <f>"81101 "</f>
        <v xml:space="preserve">81101 </v>
      </c>
      <c r="B722" t="s">
        <v>1422</v>
      </c>
      <c r="C722" t="s">
        <v>1423</v>
      </c>
    </row>
    <row r="723" spans="1:3" x14ac:dyDescent="0.25">
      <c r="A723" t="str">
        <f>"81111 "</f>
        <v xml:space="preserve">81111 </v>
      </c>
      <c r="B723" t="s">
        <v>1424</v>
      </c>
      <c r="C723" t="s">
        <v>1425</v>
      </c>
    </row>
    <row r="724" spans="1:3" x14ac:dyDescent="0.25">
      <c r="A724" t="str">
        <f>"81121 "</f>
        <v xml:space="preserve">81121 </v>
      </c>
      <c r="B724" t="s">
        <v>1426</v>
      </c>
      <c r="C724" t="s">
        <v>1427</v>
      </c>
    </row>
    <row r="725" spans="1:3" x14ac:dyDescent="0.25">
      <c r="A725" t="str">
        <f>"89011 "</f>
        <v xml:space="preserve">89011 </v>
      </c>
      <c r="B725" t="s">
        <v>1428</v>
      </c>
      <c r="C725" t="s">
        <v>1429</v>
      </c>
    </row>
    <row r="726" spans="1:3" x14ac:dyDescent="0.25">
      <c r="A726" t="str">
        <f>"89021 "</f>
        <v xml:space="preserve">89021 </v>
      </c>
      <c r="B726" t="s">
        <v>1430</v>
      </c>
      <c r="C726" t="s">
        <v>1431</v>
      </c>
    </row>
    <row r="727" spans="1:3" x14ac:dyDescent="0.25">
      <c r="A727" t="str">
        <f>"89031 "</f>
        <v xml:space="preserve">89031 </v>
      </c>
      <c r="B727" t="s">
        <v>1432</v>
      </c>
      <c r="C727" t="s">
        <v>1433</v>
      </c>
    </row>
    <row r="728" spans="1:3" x14ac:dyDescent="0.25">
      <c r="A728" t="str">
        <f>"89032 "</f>
        <v xml:space="preserve">89032 </v>
      </c>
      <c r="B728" t="s">
        <v>1434</v>
      </c>
      <c r="C728" t="s">
        <v>1435</v>
      </c>
    </row>
    <row r="729" spans="1:3" x14ac:dyDescent="0.25">
      <c r="A729" t="str">
        <f>"89041 "</f>
        <v xml:space="preserve">89041 </v>
      </c>
      <c r="B729" t="s">
        <v>1436</v>
      </c>
      <c r="C729" t="s">
        <v>1437</v>
      </c>
    </row>
    <row r="730" spans="1:3" x14ac:dyDescent="0.25">
      <c r="A730" t="str">
        <f>"89051 "</f>
        <v xml:space="preserve">89051 </v>
      </c>
      <c r="B730" t="s">
        <v>1438</v>
      </c>
      <c r="C730" t="s">
        <v>1439</v>
      </c>
    </row>
    <row r="731" spans="1:3" x14ac:dyDescent="0.25">
      <c r="A731" t="str">
        <f>"89061 "</f>
        <v xml:space="preserve">89061 </v>
      </c>
      <c r="B731" t="s">
        <v>1440</v>
      </c>
      <c r="C731" t="s">
        <v>1441</v>
      </c>
    </row>
    <row r="732" spans="1:3" x14ac:dyDescent="0.25">
      <c r="A732" t="str">
        <f>"89071 "</f>
        <v xml:space="preserve">89071 </v>
      </c>
      <c r="B732" t="s">
        <v>1442</v>
      </c>
      <c r="C732" t="s">
        <v>1443</v>
      </c>
    </row>
    <row r="733" spans="1:3" x14ac:dyDescent="0.25">
      <c r="A733" t="str">
        <f>"89081 "</f>
        <v xml:space="preserve">89081 </v>
      </c>
      <c r="B733" t="s">
        <v>1444</v>
      </c>
      <c r="C733" t="s">
        <v>1445</v>
      </c>
    </row>
    <row r="734" spans="1:3" x14ac:dyDescent="0.25">
      <c r="A734" t="str">
        <f>"89091 "</f>
        <v xml:space="preserve">89091 </v>
      </c>
      <c r="B734" t="s">
        <v>1446</v>
      </c>
      <c r="C734" t="s">
        <v>1447</v>
      </c>
    </row>
    <row r="735" spans="1:3" x14ac:dyDescent="0.25">
      <c r="A735" t="str">
        <f>"89101 "</f>
        <v xml:space="preserve">89101 </v>
      </c>
      <c r="B735" t="s">
        <v>1448</v>
      </c>
      <c r="C735" t="s">
        <v>1449</v>
      </c>
    </row>
    <row r="736" spans="1:3" x14ac:dyDescent="0.25">
      <c r="A736" t="str">
        <f>"89111 "</f>
        <v xml:space="preserve">89111 </v>
      </c>
      <c r="B736" t="s">
        <v>1450</v>
      </c>
      <c r="C736" t="s">
        <v>1451</v>
      </c>
    </row>
    <row r="737" spans="1:3" x14ac:dyDescent="0.25">
      <c r="A737" t="str">
        <f>"89012 "</f>
        <v xml:space="preserve">89012 </v>
      </c>
      <c r="B737" t="s">
        <v>1452</v>
      </c>
      <c r="C737" t="s">
        <v>1453</v>
      </c>
    </row>
    <row r="738" spans="1:3" x14ac:dyDescent="0.25">
      <c r="A738" t="str">
        <f>"89121 "</f>
        <v xml:space="preserve">89121 </v>
      </c>
      <c r="B738" t="s">
        <v>1454</v>
      </c>
      <c r="C738" t="s">
        <v>1455</v>
      </c>
    </row>
    <row r="739" spans="1:3" x14ac:dyDescent="0.25">
      <c r="A739" t="str">
        <f>"89131 "</f>
        <v xml:space="preserve">89131 </v>
      </c>
      <c r="B739" t="s">
        <v>1456</v>
      </c>
      <c r="C739" t="s">
        <v>1457</v>
      </c>
    </row>
    <row r="740" spans="1:3" x14ac:dyDescent="0.25">
      <c r="A740" t="str">
        <f>"89141 "</f>
        <v xml:space="preserve">89141 </v>
      </c>
      <c r="B740" t="s">
        <v>1458</v>
      </c>
      <c r="C740" t="s">
        <v>1459</v>
      </c>
    </row>
    <row r="741" spans="1:3" x14ac:dyDescent="0.25">
      <c r="A741" t="str">
        <f>"89151 "</f>
        <v xml:space="preserve">89151 </v>
      </c>
      <c r="B741" t="s">
        <v>1460</v>
      </c>
      <c r="C741" t="s">
        <v>1461</v>
      </c>
    </row>
    <row r="742" spans="1:3" x14ac:dyDescent="0.25">
      <c r="A742" t="str">
        <f>"89132 "</f>
        <v xml:space="preserve">89132 </v>
      </c>
      <c r="B742" t="s">
        <v>1462</v>
      </c>
      <c r="C742" t="s">
        <v>1463</v>
      </c>
    </row>
    <row r="743" spans="1:3" x14ac:dyDescent="0.25">
      <c r="A743" t="str">
        <f>"89161 "</f>
        <v xml:space="preserve">89161 </v>
      </c>
      <c r="B743" t="s">
        <v>1464</v>
      </c>
      <c r="C743" t="s">
        <v>1465</v>
      </c>
    </row>
    <row r="744" spans="1:3" x14ac:dyDescent="0.25">
      <c r="A744" t="str">
        <f>"89171 "</f>
        <v xml:space="preserve">89171 </v>
      </c>
      <c r="B744" t="s">
        <v>1466</v>
      </c>
      <c r="C744" t="s">
        <v>1467</v>
      </c>
    </row>
    <row r="745" spans="1:3" x14ac:dyDescent="0.25">
      <c r="A745" t="str">
        <f>"89172 "</f>
        <v xml:space="preserve">89172 </v>
      </c>
      <c r="B745" t="s">
        <v>1468</v>
      </c>
      <c r="C745" t="s">
        <v>1469</v>
      </c>
    </row>
    <row r="746" spans="1:3" x14ac:dyDescent="0.25">
      <c r="A746" t="str">
        <f>"89181 "</f>
        <v xml:space="preserve">89181 </v>
      </c>
      <c r="B746" t="s">
        <v>1470</v>
      </c>
      <c r="C746" t="s">
        <v>1471</v>
      </c>
    </row>
    <row r="747" spans="1:3" x14ac:dyDescent="0.25">
      <c r="A747" t="str">
        <f>"89072 "</f>
        <v xml:space="preserve">89072 </v>
      </c>
      <c r="B747" t="s">
        <v>1472</v>
      </c>
      <c r="C747" t="s">
        <v>1473</v>
      </c>
    </row>
    <row r="748" spans="1:3" x14ac:dyDescent="0.25">
      <c r="A748" t="str">
        <f>"89191 "</f>
        <v xml:space="preserve">89191 </v>
      </c>
      <c r="B748" t="s">
        <v>1474</v>
      </c>
      <c r="C748" t="s">
        <v>1475</v>
      </c>
    </row>
    <row r="749" spans="1:3" x14ac:dyDescent="0.25">
      <c r="A749" t="str">
        <f>"89201 "</f>
        <v xml:space="preserve">89201 </v>
      </c>
      <c r="B749" t="s">
        <v>1476</v>
      </c>
      <c r="C749" t="s">
        <v>1477</v>
      </c>
    </row>
    <row r="750" spans="1:3" x14ac:dyDescent="0.25">
      <c r="A750" t="str">
        <f>"89211 "</f>
        <v xml:space="preserve">89211 </v>
      </c>
      <c r="B750" t="s">
        <v>1478</v>
      </c>
      <c r="C750" t="s">
        <v>1479</v>
      </c>
    </row>
    <row r="751" spans="1:3" x14ac:dyDescent="0.25">
      <c r="A751" t="str">
        <f>"89221 "</f>
        <v xml:space="preserve">89221 </v>
      </c>
      <c r="B751" t="s">
        <v>1480</v>
      </c>
      <c r="C751" t="s">
        <v>1481</v>
      </c>
    </row>
    <row r="752" spans="1:3" x14ac:dyDescent="0.25">
      <c r="A752" t="str">
        <f>"89231 "</f>
        <v xml:space="preserve">89231 </v>
      </c>
      <c r="B752" t="s">
        <v>1482</v>
      </c>
      <c r="C752" t="s">
        <v>1483</v>
      </c>
    </row>
    <row r="753" spans="1:3" x14ac:dyDescent="0.25">
      <c r="A753" t="str">
        <f>"89241 "</f>
        <v xml:space="preserve">89241 </v>
      </c>
      <c r="B753" t="s">
        <v>1484</v>
      </c>
      <c r="C753" t="s">
        <v>1485</v>
      </c>
    </row>
    <row r="754" spans="1:3" x14ac:dyDescent="0.25">
      <c r="A754" t="str">
        <f>"89251 "</f>
        <v xml:space="preserve">89251 </v>
      </c>
      <c r="B754" t="s">
        <v>1486</v>
      </c>
      <c r="C754" t="s">
        <v>1487</v>
      </c>
    </row>
    <row r="755" spans="1:3" x14ac:dyDescent="0.25">
      <c r="A755" t="str">
        <f>"89261 "</f>
        <v xml:space="preserve">89261 </v>
      </c>
      <c r="B755" t="s">
        <v>1488</v>
      </c>
      <c r="C755" t="s">
        <v>1489</v>
      </c>
    </row>
    <row r="756" spans="1:3" x14ac:dyDescent="0.25">
      <c r="A756" t="str">
        <f>"89271 "</f>
        <v xml:space="preserve">89271 </v>
      </c>
      <c r="B756" t="s">
        <v>1490</v>
      </c>
      <c r="C756" t="s">
        <v>1491</v>
      </c>
    </row>
    <row r="757" spans="1:3" x14ac:dyDescent="0.25">
      <c r="A757" t="str">
        <f>"89272 "</f>
        <v xml:space="preserve">89272 </v>
      </c>
      <c r="B757" t="s">
        <v>1492</v>
      </c>
      <c r="C757" t="s">
        <v>1493</v>
      </c>
    </row>
    <row r="758" spans="1:3" x14ac:dyDescent="0.25">
      <c r="A758" t="str">
        <f>"89281 "</f>
        <v xml:space="preserve">89281 </v>
      </c>
      <c r="B758" t="s">
        <v>1494</v>
      </c>
      <c r="C758" t="s">
        <v>1495</v>
      </c>
    </row>
    <row r="759" spans="1:3" x14ac:dyDescent="0.25">
      <c r="A759" t="str">
        <f>"89291 "</f>
        <v xml:space="preserve">89291 </v>
      </c>
      <c r="B759" t="s">
        <v>1496</v>
      </c>
      <c r="C759" t="s">
        <v>1497</v>
      </c>
    </row>
    <row r="760" spans="1:3" x14ac:dyDescent="0.25">
      <c r="A760" t="str">
        <f>"81161 "</f>
        <v xml:space="preserve">81161 </v>
      </c>
      <c r="B760" t="s">
        <v>1498</v>
      </c>
      <c r="C760" t="s">
        <v>1499</v>
      </c>
    </row>
    <row r="761" spans="1:3" x14ac:dyDescent="0.25">
      <c r="A761" t="str">
        <f>"81162 "</f>
        <v xml:space="preserve">81162 </v>
      </c>
      <c r="B761" t="s">
        <v>33</v>
      </c>
      <c r="C761" t="s">
        <v>34</v>
      </c>
    </row>
    <row r="762" spans="1:3" x14ac:dyDescent="0.25">
      <c r="A762" t="str">
        <f>"89301 "</f>
        <v xml:space="preserve">89301 </v>
      </c>
      <c r="B762" t="s">
        <v>1500</v>
      </c>
      <c r="C762" t="s">
        <v>1501</v>
      </c>
    </row>
    <row r="763" spans="1:3" x14ac:dyDescent="0.25">
      <c r="A763" t="str">
        <f>"89311 "</f>
        <v xml:space="preserve">89311 </v>
      </c>
      <c r="B763" t="s">
        <v>1502</v>
      </c>
      <c r="C763" t="s">
        <v>1503</v>
      </c>
    </row>
    <row r="764" spans="1:3" x14ac:dyDescent="0.25">
      <c r="A764" t="str">
        <f>"89321 "</f>
        <v xml:space="preserve">89321 </v>
      </c>
      <c r="B764" t="s">
        <v>1504</v>
      </c>
      <c r="C764" t="s">
        <v>1505</v>
      </c>
    </row>
    <row r="765" spans="1:3" x14ac:dyDescent="0.25">
      <c r="A765" t="str">
        <f>"81171 "</f>
        <v xml:space="preserve">81171 </v>
      </c>
      <c r="B765" t="s">
        <v>548</v>
      </c>
      <c r="C765" t="s">
        <v>549</v>
      </c>
    </row>
    <row r="766" spans="1:3" x14ac:dyDescent="0.25">
      <c r="A766" t="str">
        <f>"81181 "</f>
        <v xml:space="preserve">81181 </v>
      </c>
      <c r="B766" t="s">
        <v>1506</v>
      </c>
      <c r="C766" t="s">
        <v>1507</v>
      </c>
    </row>
    <row r="767" spans="1:3" x14ac:dyDescent="0.25">
      <c r="A767" t="str">
        <f>"81201 "</f>
        <v xml:space="preserve">81201 </v>
      </c>
      <c r="B767" t="s">
        <v>1508</v>
      </c>
      <c r="C767" t="s">
        <v>1509</v>
      </c>
    </row>
    <row r="768" spans="1:3" x14ac:dyDescent="0.25">
      <c r="A768" t="str">
        <f>"70041 "</f>
        <v xml:space="preserve">70041 </v>
      </c>
      <c r="B768" t="s">
        <v>1510</v>
      </c>
      <c r="C768" t="s">
        <v>1511</v>
      </c>
    </row>
    <row r="769" spans="1:3" x14ac:dyDescent="0.25">
      <c r="A769" t="str">
        <f>"70042 "</f>
        <v xml:space="preserve">70042 </v>
      </c>
      <c r="B769" t="s">
        <v>1512</v>
      </c>
      <c r="C769" t="s">
        <v>1513</v>
      </c>
    </row>
    <row r="770" spans="1:3" x14ac:dyDescent="0.25">
      <c r="A770" t="str">
        <f>"70081 "</f>
        <v xml:space="preserve">70081 </v>
      </c>
      <c r="B770" t="s">
        <v>1514</v>
      </c>
      <c r="C770" t="s">
        <v>1515</v>
      </c>
    </row>
    <row r="771" spans="1:3" x14ac:dyDescent="0.25">
      <c r="A771" t="str">
        <f>"70101 "</f>
        <v xml:space="preserve">70101 </v>
      </c>
      <c r="B771" t="s">
        <v>1516</v>
      </c>
      <c r="C771" t="s">
        <v>1517</v>
      </c>
    </row>
    <row r="772" spans="1:3" x14ac:dyDescent="0.25">
      <c r="A772" t="str">
        <f>"89331 "</f>
        <v xml:space="preserve">89331 </v>
      </c>
      <c r="B772" t="s">
        <v>1518</v>
      </c>
      <c r="C772" t="s">
        <v>1519</v>
      </c>
    </row>
    <row r="773" spans="1:3" x14ac:dyDescent="0.25">
      <c r="A773" t="str">
        <f>"89341 "</f>
        <v xml:space="preserve">89341 </v>
      </c>
      <c r="B773" t="s">
        <v>1520</v>
      </c>
      <c r="C773" t="s">
        <v>1521</v>
      </c>
    </row>
    <row r="774" spans="1:3" x14ac:dyDescent="0.25">
      <c r="A774" t="str">
        <f>"89351 "</f>
        <v xml:space="preserve">89351 </v>
      </c>
      <c r="B774" t="s">
        <v>1522</v>
      </c>
      <c r="C774" t="s">
        <v>1523</v>
      </c>
    </row>
    <row r="775" spans="1:3" x14ac:dyDescent="0.25">
      <c r="A775" t="str">
        <f>"81211 "</f>
        <v xml:space="preserve">81211 </v>
      </c>
      <c r="B775" t="s">
        <v>1524</v>
      </c>
      <c r="C775" t="s">
        <v>1525</v>
      </c>
    </row>
    <row r="776" spans="1:3" x14ac:dyDescent="0.25">
      <c r="A776" t="str">
        <f>"89142 "</f>
        <v xml:space="preserve">89142 </v>
      </c>
      <c r="B776" t="s">
        <v>1526</v>
      </c>
      <c r="C776" t="s">
        <v>1527</v>
      </c>
    </row>
    <row r="777" spans="1:3" x14ac:dyDescent="0.25">
      <c r="A777" t="str">
        <f>"81062 "</f>
        <v xml:space="preserve">81062 </v>
      </c>
      <c r="B777" t="s">
        <v>1528</v>
      </c>
      <c r="C777" t="s">
        <v>1529</v>
      </c>
    </row>
    <row r="778" spans="1:3" x14ac:dyDescent="0.25">
      <c r="A778" t="str">
        <f>"81092 "</f>
        <v xml:space="preserve">81092 </v>
      </c>
      <c r="B778" t="s">
        <v>1530</v>
      </c>
      <c r="C778" t="s">
        <v>1531</v>
      </c>
    </row>
    <row r="779" spans="1:3" x14ac:dyDescent="0.25">
      <c r="A779" t="str">
        <f>"81163 "</f>
        <v xml:space="preserve">81163 </v>
      </c>
      <c r="B779" t="s">
        <v>1532</v>
      </c>
      <c r="C779" t="s">
        <v>1533</v>
      </c>
    </row>
    <row r="780" spans="1:3" x14ac:dyDescent="0.25">
      <c r="A780" t="str">
        <f>"81164 "</f>
        <v xml:space="preserve">81164 </v>
      </c>
      <c r="B780" t="s">
        <v>1534</v>
      </c>
      <c r="C780" t="s">
        <v>1535</v>
      </c>
    </row>
    <row r="781" spans="1:3" x14ac:dyDescent="0.25">
      <c r="A781" t="str">
        <f>"81172 "</f>
        <v xml:space="preserve">81172 </v>
      </c>
      <c r="B781" t="s">
        <v>1536</v>
      </c>
      <c r="C781" t="s">
        <v>1537</v>
      </c>
    </row>
    <row r="782" spans="1:3" x14ac:dyDescent="0.25">
      <c r="A782" t="str">
        <f>"81182 "</f>
        <v xml:space="preserve">81182 </v>
      </c>
      <c r="B782" t="s">
        <v>1538</v>
      </c>
      <c r="C782" t="s">
        <v>1539</v>
      </c>
    </row>
    <row r="783" spans="1:3" x14ac:dyDescent="0.25">
      <c r="A783" t="str">
        <f>"81183 "</f>
        <v xml:space="preserve">81183 </v>
      </c>
      <c r="B783" t="s">
        <v>1540</v>
      </c>
      <c r="C783" t="s">
        <v>1541</v>
      </c>
    </row>
    <row r="784" spans="1:3" x14ac:dyDescent="0.25">
      <c r="A784" t="str">
        <f>"81231 "</f>
        <v xml:space="preserve">81231 </v>
      </c>
      <c r="B784" t="s">
        <v>1542</v>
      </c>
      <c r="C784" t="s">
        <v>1543</v>
      </c>
    </row>
    <row r="785" spans="1:3" x14ac:dyDescent="0.25">
      <c r="A785" t="str">
        <f>"81221 "</f>
        <v xml:space="preserve">81221 </v>
      </c>
      <c r="B785" t="s">
        <v>1544</v>
      </c>
      <c r="C785" t="s">
        <v>1545</v>
      </c>
    </row>
    <row r="786" spans="1:3" x14ac:dyDescent="0.25">
      <c r="A786" t="str">
        <f>"81251 "</f>
        <v xml:space="preserve">81251 </v>
      </c>
      <c r="B786" t="s">
        <v>39</v>
      </c>
      <c r="C786" t="s">
        <v>40</v>
      </c>
    </row>
    <row r="787" spans="1:3" x14ac:dyDescent="0.25">
      <c r="A787" t="str">
        <f>"81241 "</f>
        <v xml:space="preserve">81241 </v>
      </c>
      <c r="B787" t="s">
        <v>41</v>
      </c>
      <c r="C787" t="s">
        <v>42</v>
      </c>
    </row>
    <row r="788" spans="1:3" x14ac:dyDescent="0.25">
      <c r="A788" t="str">
        <f>"81261 "</f>
        <v xml:space="preserve">81261 </v>
      </c>
      <c r="B788" t="s">
        <v>69</v>
      </c>
      <c r="C788" t="s">
        <v>70</v>
      </c>
    </row>
    <row r="789" spans="1:3" x14ac:dyDescent="0.25">
      <c r="A789" t="str">
        <f>"99992 "</f>
        <v xml:space="preserve">99992 </v>
      </c>
      <c r="B789" t="s">
        <v>1546</v>
      </c>
      <c r="C789" t="s">
        <v>1547</v>
      </c>
    </row>
    <row r="790" spans="1:3" x14ac:dyDescent="0.25">
      <c r="A790" t="str">
        <f>"81262 "</f>
        <v xml:space="preserve">81262 </v>
      </c>
      <c r="B790" t="s">
        <v>89</v>
      </c>
      <c r="C790" t="s">
        <v>90</v>
      </c>
    </row>
    <row r="791" spans="1:3" x14ac:dyDescent="0.25">
      <c r="A791" t="str">
        <f>"89361 "</f>
        <v xml:space="preserve">89361 </v>
      </c>
      <c r="B791" t="s">
        <v>1548</v>
      </c>
      <c r="C791" t="s">
        <v>1549</v>
      </c>
    </row>
    <row r="792" spans="1:3" x14ac:dyDescent="0.25">
      <c r="A792" t="str">
        <f>"81212 "</f>
        <v xml:space="preserve">81212 </v>
      </c>
      <c r="B792" t="s">
        <v>1550</v>
      </c>
      <c r="C792" t="s">
        <v>1551</v>
      </c>
    </row>
    <row r="793" spans="1:3" x14ac:dyDescent="0.25">
      <c r="A793" t="str">
        <f>"81301 "</f>
        <v xml:space="preserve">81301 </v>
      </c>
      <c r="B793" t="s">
        <v>1552</v>
      </c>
      <c r="C793" t="s">
        <v>1553</v>
      </c>
    </row>
    <row r="794" spans="1:3" x14ac:dyDescent="0.25">
      <c r="A794" t="str">
        <f>"99998 "</f>
        <v xml:space="preserve">99998 </v>
      </c>
      <c r="B794" t="s">
        <v>1554</v>
      </c>
      <c r="C794" t="s">
        <v>1555</v>
      </c>
    </row>
    <row r="795" spans="1:3" x14ac:dyDescent="0.25">
      <c r="A795" t="str">
        <f>"81271 "</f>
        <v xml:space="preserve">81271 </v>
      </c>
      <c r="B795" t="s">
        <v>1556</v>
      </c>
      <c r="C795" t="s">
        <v>1557</v>
      </c>
    </row>
    <row r="796" spans="1:3" x14ac:dyDescent="0.25">
      <c r="A796" t="str">
        <f>"81281 "</f>
        <v xml:space="preserve">81281 </v>
      </c>
      <c r="B796" t="s">
        <v>1558</v>
      </c>
      <c r="C796" t="s">
        <v>1559</v>
      </c>
    </row>
    <row r="797" spans="1:3" x14ac:dyDescent="0.25">
      <c r="A797" t="str">
        <f>"81291 "</f>
        <v xml:space="preserve">81291 </v>
      </c>
      <c r="B797" t="s">
        <v>1560</v>
      </c>
      <c r="C797" t="s">
        <v>1561</v>
      </c>
    </row>
    <row r="798" spans="1:3" x14ac:dyDescent="0.25">
      <c r="A798" t="str">
        <f>"81311 "</f>
        <v xml:space="preserve">81311 </v>
      </c>
      <c r="B798" t="s">
        <v>1562</v>
      </c>
      <c r="C798" t="s">
        <v>1563</v>
      </c>
    </row>
    <row r="799" spans="1:3" x14ac:dyDescent="0.25">
      <c r="A799" t="str">
        <f>"81073 "</f>
        <v xml:space="preserve">81073 </v>
      </c>
      <c r="B799" t="s">
        <v>1564</v>
      </c>
      <c r="C799" t="s">
        <v>1565</v>
      </c>
    </row>
    <row r="800" spans="1:3" x14ac:dyDescent="0.25">
      <c r="A800" t="str">
        <f>"75011 "</f>
        <v xml:space="preserve">75011 </v>
      </c>
      <c r="B800" t="s">
        <v>1566</v>
      </c>
      <c r="C800" t="s">
        <v>1567</v>
      </c>
    </row>
    <row r="801" spans="1:3" x14ac:dyDescent="0.25">
      <c r="A801" t="str">
        <f>"75021 "</f>
        <v xml:space="preserve">75021 </v>
      </c>
      <c r="B801" t="s">
        <v>1568</v>
      </c>
      <c r="C801" t="s">
        <v>1569</v>
      </c>
    </row>
    <row r="802" spans="1:3" x14ac:dyDescent="0.25">
      <c r="A802" t="str">
        <f>"75031 "</f>
        <v xml:space="preserve">75031 </v>
      </c>
      <c r="B802" t="s">
        <v>1570</v>
      </c>
      <c r="C802" t="s">
        <v>1571</v>
      </c>
    </row>
    <row r="803" spans="1:3" x14ac:dyDescent="0.25">
      <c r="A803" t="str">
        <f>"75041 "</f>
        <v xml:space="preserve">75041 </v>
      </c>
      <c r="B803" t="s">
        <v>1572</v>
      </c>
      <c r="C803" t="s">
        <v>1573</v>
      </c>
    </row>
    <row r="804" spans="1:3" x14ac:dyDescent="0.25">
      <c r="A804" t="str">
        <f>"75051 "</f>
        <v xml:space="preserve">75051 </v>
      </c>
      <c r="B804" t="s">
        <v>1574</v>
      </c>
      <c r="C804" t="s">
        <v>1575</v>
      </c>
    </row>
    <row r="805" spans="1:3" x14ac:dyDescent="0.25">
      <c r="A805" t="str">
        <f>"75061 "</f>
        <v xml:space="preserve">75061 </v>
      </c>
      <c r="B805" t="s">
        <v>1576</v>
      </c>
      <c r="C805" t="s">
        <v>1577</v>
      </c>
    </row>
    <row r="806" spans="1:3" x14ac:dyDescent="0.25">
      <c r="A806" t="str">
        <f>"75071 "</f>
        <v xml:space="preserve">75071 </v>
      </c>
      <c r="B806" t="s">
        <v>1578</v>
      </c>
      <c r="C806" t="s">
        <v>1579</v>
      </c>
    </row>
    <row r="807" spans="1:3" x14ac:dyDescent="0.25">
      <c r="A807" t="str">
        <f>"75081 "</f>
        <v xml:space="preserve">75081 </v>
      </c>
      <c r="B807" t="s">
        <v>1580</v>
      </c>
      <c r="C807" t="s">
        <v>1581</v>
      </c>
    </row>
    <row r="808" spans="1:3" x14ac:dyDescent="0.25">
      <c r="A808" t="str">
        <f>"81321 "</f>
        <v xml:space="preserve">81321 </v>
      </c>
      <c r="B808" t="s">
        <v>1582</v>
      </c>
      <c r="C808" t="s">
        <v>1583</v>
      </c>
    </row>
    <row r="809" spans="1:3" x14ac:dyDescent="0.25">
      <c r="A809" t="str">
        <f>"81093 "</f>
        <v xml:space="preserve">81093 </v>
      </c>
      <c r="B809" t="s">
        <v>1584</v>
      </c>
      <c r="C809" t="s">
        <v>1585</v>
      </c>
    </row>
    <row r="810" spans="1:3" x14ac:dyDescent="0.25">
      <c r="A810" t="str">
        <f>"75091 "</f>
        <v xml:space="preserve">75091 </v>
      </c>
      <c r="B810" t="s">
        <v>1586</v>
      </c>
      <c r="C810" t="s">
        <v>1587</v>
      </c>
    </row>
    <row r="811" spans="1:3" x14ac:dyDescent="0.25">
      <c r="A811" t="str">
        <f>"75101 "</f>
        <v xml:space="preserve">75101 </v>
      </c>
      <c r="B811" t="s">
        <v>1588</v>
      </c>
      <c r="C811" t="s">
        <v>1589</v>
      </c>
    </row>
    <row r="812" spans="1:3" x14ac:dyDescent="0.25">
      <c r="A812" t="str">
        <f>"75111 "</f>
        <v xml:space="preserve">75111 </v>
      </c>
      <c r="B812" t="s">
        <v>1590</v>
      </c>
      <c r="C812" t="s">
        <v>1591</v>
      </c>
    </row>
    <row r="813" spans="1:3" x14ac:dyDescent="0.25">
      <c r="A813" t="str">
        <f>"75121 "</f>
        <v xml:space="preserve">75121 </v>
      </c>
      <c r="B813" t="s">
        <v>1592</v>
      </c>
      <c r="C813" t="s">
        <v>1593</v>
      </c>
    </row>
    <row r="814" spans="1:3" x14ac:dyDescent="0.25">
      <c r="A814" t="str">
        <f>"75131 "</f>
        <v xml:space="preserve">75131 </v>
      </c>
      <c r="B814" t="s">
        <v>1594</v>
      </c>
      <c r="C814" t="s">
        <v>1595</v>
      </c>
    </row>
    <row r="815" spans="1:3" x14ac:dyDescent="0.25">
      <c r="A815" t="str">
        <f>"75141 "</f>
        <v xml:space="preserve">75141 </v>
      </c>
      <c r="B815" t="s">
        <v>1596</v>
      </c>
      <c r="C815" t="s">
        <v>1597</v>
      </c>
    </row>
    <row r="816" spans="1:3" x14ac:dyDescent="0.25">
      <c r="A816" t="str">
        <f>"75151 "</f>
        <v xml:space="preserve">75151 </v>
      </c>
      <c r="B816" t="s">
        <v>1598</v>
      </c>
      <c r="C816" t="s">
        <v>1599</v>
      </c>
    </row>
    <row r="817" spans="1:3" x14ac:dyDescent="0.25">
      <c r="A817" t="str">
        <f>"75161 "</f>
        <v xml:space="preserve">75161 </v>
      </c>
      <c r="B817" t="s">
        <v>1600</v>
      </c>
      <c r="C817" t="s">
        <v>1601</v>
      </c>
    </row>
    <row r="818" spans="1:3" x14ac:dyDescent="0.25">
      <c r="A818" t="str">
        <f>"81381 "</f>
        <v xml:space="preserve">81381 </v>
      </c>
      <c r="B818" t="s">
        <v>1602</v>
      </c>
      <c r="C818" t="s">
        <v>1603</v>
      </c>
    </row>
    <row r="819" spans="1:3" x14ac:dyDescent="0.25">
      <c r="A819" t="str">
        <f>"89381 "</f>
        <v xml:space="preserve">89381 </v>
      </c>
      <c r="B819" t="s">
        <v>1604</v>
      </c>
      <c r="C819" t="s">
        <v>1605</v>
      </c>
    </row>
    <row r="820" spans="1:3" x14ac:dyDescent="0.25">
      <c r="A820" t="str">
        <f>"75171 "</f>
        <v xml:space="preserve">75171 </v>
      </c>
      <c r="B820" t="s">
        <v>1606</v>
      </c>
      <c r="C820" t="s">
        <v>1607</v>
      </c>
    </row>
    <row r="821" spans="1:3" x14ac:dyDescent="0.25">
      <c r="A821" t="str">
        <f>"81391 "</f>
        <v xml:space="preserve">81391 </v>
      </c>
      <c r="B821" t="s">
        <v>1608</v>
      </c>
      <c r="C821" t="s">
        <v>1609</v>
      </c>
    </row>
    <row r="822" spans="1:3" x14ac:dyDescent="0.25">
      <c r="A822" t="str">
        <f>"81401 "</f>
        <v xml:space="preserve">81401 </v>
      </c>
      <c r="B822" t="s">
        <v>1610</v>
      </c>
      <c r="C822" t="s">
        <v>1611</v>
      </c>
    </row>
    <row r="823" spans="1:3" x14ac:dyDescent="0.25">
      <c r="A823" t="str">
        <f>"81165 "</f>
        <v xml:space="preserve">81165 </v>
      </c>
      <c r="B823" t="s">
        <v>1612</v>
      </c>
      <c r="C823" t="s">
        <v>1613</v>
      </c>
    </row>
    <row r="824" spans="1:3" x14ac:dyDescent="0.25">
      <c r="A824" t="str">
        <f>"81184 "</f>
        <v xml:space="preserve">81184 </v>
      </c>
      <c r="B824" t="s">
        <v>1614</v>
      </c>
      <c r="C824" t="s">
        <v>1615</v>
      </c>
    </row>
    <row r="825" spans="1:3" x14ac:dyDescent="0.25">
      <c r="A825" t="str">
        <f>"81421 "</f>
        <v xml:space="preserve">81421 </v>
      </c>
      <c r="B825" t="s">
        <v>1616</v>
      </c>
      <c r="C825" t="s">
        <v>1617</v>
      </c>
    </row>
    <row r="826" spans="1:3" x14ac:dyDescent="0.25">
      <c r="A826" t="str">
        <f>"81431 "</f>
        <v xml:space="preserve">81431 </v>
      </c>
      <c r="B826" t="s">
        <v>1618</v>
      </c>
      <c r="C826" t="s">
        <v>1619</v>
      </c>
    </row>
    <row r="827" spans="1:3" x14ac:dyDescent="0.25">
      <c r="A827" t="str">
        <f>"89391 "</f>
        <v xml:space="preserve">89391 </v>
      </c>
      <c r="B827" t="s">
        <v>1620</v>
      </c>
      <c r="C827" t="s">
        <v>1621</v>
      </c>
    </row>
    <row r="828" spans="1:3" x14ac:dyDescent="0.25">
      <c r="A828" t="str">
        <f>"8116A1"</f>
        <v>8116A1</v>
      </c>
      <c r="B828" t="s">
        <v>1622</v>
      </c>
      <c r="C828" t="s">
        <v>1623</v>
      </c>
    </row>
    <row r="829" spans="1:3" x14ac:dyDescent="0.25">
      <c r="A829" t="str">
        <f>"8116A2"</f>
        <v>8116A2</v>
      </c>
      <c r="B829" t="s">
        <v>1624</v>
      </c>
      <c r="C829" t="s">
        <v>1625</v>
      </c>
    </row>
    <row r="830" spans="1:3" x14ac:dyDescent="0.25">
      <c r="A830" t="str">
        <f>"8116A3"</f>
        <v>8116A3</v>
      </c>
      <c r="B830" t="s">
        <v>1626</v>
      </c>
      <c r="C830" t="s">
        <v>1627</v>
      </c>
    </row>
    <row r="831" spans="1:3" x14ac:dyDescent="0.25">
      <c r="A831" t="str">
        <f>"8116A4"</f>
        <v>8116A4</v>
      </c>
      <c r="B831" t="s">
        <v>1628</v>
      </c>
      <c r="C831" t="s">
        <v>1629</v>
      </c>
    </row>
    <row r="832" spans="1:3" x14ac:dyDescent="0.25">
      <c r="A832" t="str">
        <f>"8116A5"</f>
        <v>8116A5</v>
      </c>
      <c r="B832" t="s">
        <v>1630</v>
      </c>
      <c r="C832" t="s">
        <v>1631</v>
      </c>
    </row>
    <row r="833" spans="1:3" x14ac:dyDescent="0.25">
      <c r="A833" t="str">
        <f>"8116A6"</f>
        <v>8116A6</v>
      </c>
      <c r="B833" t="s">
        <v>1632</v>
      </c>
      <c r="C833" t="s">
        <v>1633</v>
      </c>
    </row>
    <row r="834" spans="1:3" x14ac:dyDescent="0.25">
      <c r="A834" t="str">
        <f>"AAAAA "</f>
        <v xml:space="preserve">AAAAA </v>
      </c>
      <c r="B834" t="s">
        <v>1634</v>
      </c>
      <c r="C834" t="s">
        <v>1635</v>
      </c>
    </row>
    <row r="835" spans="1:3" x14ac:dyDescent="0.25">
      <c r="A835" t="str">
        <f>"02002 "</f>
        <v xml:space="preserve">02002 </v>
      </c>
      <c r="B835" t="s">
        <v>1636</v>
      </c>
      <c r="C835" t="s">
        <v>1637</v>
      </c>
    </row>
    <row r="836" spans="1:3" x14ac:dyDescent="0.25">
      <c r="A836" t="str">
        <f>"81185 "</f>
        <v xml:space="preserve">81185 </v>
      </c>
      <c r="B836" t="s">
        <v>1638</v>
      </c>
      <c r="C836" t="s">
        <v>1639</v>
      </c>
    </row>
    <row r="837" spans="1:3" x14ac:dyDescent="0.25">
      <c r="A837" t="str">
        <f>"81441 "</f>
        <v xml:space="preserve">81441 </v>
      </c>
      <c r="B837" t="s">
        <v>1640</v>
      </c>
      <c r="C837" t="s">
        <v>1641</v>
      </c>
    </row>
    <row r="838" spans="1:3" x14ac:dyDescent="0.25">
      <c r="A838" t="str">
        <f>"81351 "</f>
        <v xml:space="preserve">81351 </v>
      </c>
      <c r="B838" t="s">
        <v>1642</v>
      </c>
      <c r="C838" t="s">
        <v>1643</v>
      </c>
    </row>
    <row r="839" spans="1:3" x14ac:dyDescent="0.25">
      <c r="A839" t="str">
        <f>"89401 "</f>
        <v xml:space="preserve">89401 </v>
      </c>
      <c r="B839" t="s">
        <v>1644</v>
      </c>
      <c r="C839" t="s">
        <v>1645</v>
      </c>
    </row>
    <row r="840" spans="1:3" x14ac:dyDescent="0.25">
      <c r="A840" t="str">
        <f>"81451 "</f>
        <v xml:space="preserve">81451 </v>
      </c>
      <c r="B840" t="s">
        <v>1646</v>
      </c>
      <c r="C840" t="s">
        <v>1647</v>
      </c>
    </row>
    <row r="841" spans="1:3" x14ac:dyDescent="0.25">
      <c r="A841" t="str">
        <f>"81442 "</f>
        <v xml:space="preserve">81442 </v>
      </c>
      <c r="B841" t="s">
        <v>1648</v>
      </c>
      <c r="C841" t="s">
        <v>1649</v>
      </c>
    </row>
    <row r="842" spans="1:3" x14ac:dyDescent="0.25">
      <c r="A842" t="str">
        <f>"81461 "</f>
        <v xml:space="preserve">81461 </v>
      </c>
      <c r="B842" t="s">
        <v>1650</v>
      </c>
      <c r="C842" t="s">
        <v>1651</v>
      </c>
    </row>
    <row r="843" spans="1:3" x14ac:dyDescent="0.25">
      <c r="A843" t="str">
        <f>"81466 "</f>
        <v xml:space="preserve">81466 </v>
      </c>
      <c r="B843" t="s">
        <v>1652</v>
      </c>
      <c r="C843" t="s">
        <v>1653</v>
      </c>
    </row>
    <row r="844" spans="1:3" x14ac:dyDescent="0.25">
      <c r="A844" t="str">
        <f>"81471 "</f>
        <v xml:space="preserve">81471 </v>
      </c>
      <c r="B844" t="s">
        <v>1654</v>
      </c>
      <c r="C844" t="s">
        <v>1655</v>
      </c>
    </row>
    <row r="845" spans="1:3" x14ac:dyDescent="0.25">
      <c r="A845" t="str">
        <f>"81186 "</f>
        <v xml:space="preserve">81186 </v>
      </c>
      <c r="B845" t="s">
        <v>1656</v>
      </c>
      <c r="C845" t="s">
        <v>1657</v>
      </c>
    </row>
    <row r="846" spans="1:3" x14ac:dyDescent="0.25">
      <c r="A846" t="str">
        <f>"81491 "</f>
        <v xml:space="preserve">81491 </v>
      </c>
      <c r="B846" t="s">
        <v>1658</v>
      </c>
      <c r="C846" t="s">
        <v>148</v>
      </c>
    </row>
    <row r="847" spans="1:3" x14ac:dyDescent="0.25">
      <c r="A847" t="str">
        <f>"81481 "</f>
        <v xml:space="preserve">81481 </v>
      </c>
      <c r="B847" t="s">
        <v>1659</v>
      </c>
      <c r="C847" t="s">
        <v>1660</v>
      </c>
    </row>
    <row r="848" spans="1:3" x14ac:dyDescent="0.25">
      <c r="A848" t="str">
        <f>"81482 "</f>
        <v xml:space="preserve">81482 </v>
      </c>
      <c r="B848" t="s">
        <v>1661</v>
      </c>
      <c r="C848" t="s">
        <v>1662</v>
      </c>
    </row>
    <row r="849" spans="1:3" x14ac:dyDescent="0.25">
      <c r="A849" t="str">
        <f>"8800P "</f>
        <v xml:space="preserve">8800P </v>
      </c>
      <c r="B849" t="s">
        <v>1663</v>
      </c>
      <c r="C849" t="s">
        <v>1664</v>
      </c>
    </row>
    <row r="850" spans="1:3" x14ac:dyDescent="0.25">
      <c r="A850" t="str">
        <f>"81531 "</f>
        <v xml:space="preserve">81531 </v>
      </c>
      <c r="B850" t="s">
        <v>1665</v>
      </c>
      <c r="C850" t="s">
        <v>1666</v>
      </c>
    </row>
    <row r="851" spans="1:3" x14ac:dyDescent="0.25">
      <c r="A851" t="str">
        <f>"81541 "</f>
        <v xml:space="preserve">81541 </v>
      </c>
      <c r="B851" t="s">
        <v>1667</v>
      </c>
      <c r="C851" t="s">
        <v>1668</v>
      </c>
    </row>
    <row r="852" spans="1:3" x14ac:dyDescent="0.25">
      <c r="A852" t="str">
        <f>"8138P "</f>
        <v xml:space="preserve">8138P </v>
      </c>
      <c r="B852" t="s">
        <v>1669</v>
      </c>
      <c r="C852" t="s">
        <v>1670</v>
      </c>
    </row>
    <row r="853" spans="1:3" x14ac:dyDescent="0.25">
      <c r="A853" t="str">
        <f>"8138T1"</f>
        <v>8138T1</v>
      </c>
      <c r="B853" t="s">
        <v>1671</v>
      </c>
      <c r="C853" t="s">
        <v>1672</v>
      </c>
    </row>
    <row r="854" spans="1:3" x14ac:dyDescent="0.25">
      <c r="A854" t="str">
        <f>"8138T2"</f>
        <v>8138T2</v>
      </c>
      <c r="B854" t="s">
        <v>1673</v>
      </c>
      <c r="C854" t="s">
        <v>1674</v>
      </c>
    </row>
    <row r="855" spans="1:3" x14ac:dyDescent="0.25">
      <c r="A855" t="str">
        <f>"8138T3"</f>
        <v>8138T3</v>
      </c>
      <c r="B855" t="s">
        <v>1675</v>
      </c>
      <c r="C855" t="s">
        <v>1676</v>
      </c>
    </row>
    <row r="856" spans="1:3" x14ac:dyDescent="0.25">
      <c r="A856" t="str">
        <f>"81501 "</f>
        <v xml:space="preserve">81501 </v>
      </c>
      <c r="B856" t="s">
        <v>1677</v>
      </c>
      <c r="C856" t="s">
        <v>1678</v>
      </c>
    </row>
    <row r="857" spans="1:3" x14ac:dyDescent="0.25">
      <c r="A857" t="str">
        <f>"81511 "</f>
        <v xml:space="preserve">81511 </v>
      </c>
      <c r="B857" t="s">
        <v>1679</v>
      </c>
      <c r="C857" t="s">
        <v>1680</v>
      </c>
    </row>
    <row r="858" spans="1:3" x14ac:dyDescent="0.25">
      <c r="A858" t="str">
        <f>"81521 "</f>
        <v xml:space="preserve">81521 </v>
      </c>
      <c r="B858" t="s">
        <v>1681</v>
      </c>
      <c r="C858" t="s">
        <v>1682</v>
      </c>
    </row>
    <row r="859" spans="1:3" x14ac:dyDescent="0.25">
      <c r="A859" t="str">
        <f>"81412 "</f>
        <v xml:space="preserve">81412 </v>
      </c>
      <c r="B859" t="s">
        <v>1683</v>
      </c>
      <c r="C859" t="s">
        <v>1684</v>
      </c>
    </row>
    <row r="860" spans="1:3" x14ac:dyDescent="0.25">
      <c r="A860" t="str">
        <f>"81411 "</f>
        <v xml:space="preserve">81411 </v>
      </c>
      <c r="B860" t="s">
        <v>1685</v>
      </c>
      <c r="C860" t="s">
        <v>1686</v>
      </c>
    </row>
    <row r="861" spans="1:3" x14ac:dyDescent="0.25">
      <c r="A861" t="str">
        <f>"81542 "</f>
        <v xml:space="preserve">81542 </v>
      </c>
      <c r="B861" t="s">
        <v>1687</v>
      </c>
      <c r="C861" t="s">
        <v>1688</v>
      </c>
    </row>
    <row r="862" spans="1:3" x14ac:dyDescent="0.25">
      <c r="A862" t="str">
        <f>"81543 "</f>
        <v xml:space="preserve">81543 </v>
      </c>
      <c r="B862" t="s">
        <v>1689</v>
      </c>
      <c r="C862" t="s">
        <v>1690</v>
      </c>
    </row>
    <row r="863" spans="1:3" x14ac:dyDescent="0.25">
      <c r="A863" t="str">
        <f>"89402 "</f>
        <v xml:space="preserve">89402 </v>
      </c>
      <c r="B863" t="s">
        <v>1691</v>
      </c>
      <c r="C863" t="s">
        <v>1692</v>
      </c>
    </row>
    <row r="864" spans="1:3" x14ac:dyDescent="0.25">
      <c r="A864" t="str">
        <f>"81187 "</f>
        <v xml:space="preserve">81187 </v>
      </c>
      <c r="B864" t="s">
        <v>1693</v>
      </c>
      <c r="C864" t="s">
        <v>1694</v>
      </c>
    </row>
    <row r="865" spans="1:3" x14ac:dyDescent="0.25">
      <c r="A865" t="str">
        <f>"81331 "</f>
        <v xml:space="preserve">81331 </v>
      </c>
      <c r="B865" t="s">
        <v>1695</v>
      </c>
      <c r="C865" t="s">
        <v>1696</v>
      </c>
    </row>
    <row r="866" spans="1:3" x14ac:dyDescent="0.25">
      <c r="A866" t="str">
        <f>"81341 "</f>
        <v xml:space="preserve">81341 </v>
      </c>
      <c r="B866" t="s">
        <v>1697</v>
      </c>
      <c r="C866" t="s">
        <v>1698</v>
      </c>
    </row>
    <row r="867" spans="1:3" x14ac:dyDescent="0.25">
      <c r="A867" t="str">
        <f>"81188 "</f>
        <v xml:space="preserve">81188 </v>
      </c>
      <c r="B867" t="s">
        <v>1699</v>
      </c>
      <c r="C867" t="s">
        <v>1700</v>
      </c>
    </row>
    <row r="868" spans="1:3" x14ac:dyDescent="0.25">
      <c r="A868" t="str">
        <f>"811811"</f>
        <v>811811</v>
      </c>
      <c r="B868" t="s">
        <v>1701</v>
      </c>
      <c r="C868" t="s">
        <v>1702</v>
      </c>
    </row>
    <row r="869" spans="1:3" x14ac:dyDescent="0.25">
      <c r="A869" t="str">
        <f>"81561 "</f>
        <v xml:space="preserve">81561 </v>
      </c>
      <c r="B869" t="s">
        <v>570</v>
      </c>
      <c r="C869" t="s">
        <v>571</v>
      </c>
    </row>
    <row r="870" spans="1:3" x14ac:dyDescent="0.25">
      <c r="A870" t="str">
        <f>"81571 "</f>
        <v xml:space="preserve">81571 </v>
      </c>
      <c r="B870" t="s">
        <v>1703</v>
      </c>
      <c r="C870" t="s">
        <v>1704</v>
      </c>
    </row>
    <row r="871" spans="1:3" x14ac:dyDescent="0.25">
      <c r="A871" t="str">
        <f>"81551 "</f>
        <v xml:space="preserve">81551 </v>
      </c>
      <c r="B871" t="s">
        <v>632</v>
      </c>
      <c r="C871" t="s">
        <v>633</v>
      </c>
    </row>
    <row r="872" spans="1:3" x14ac:dyDescent="0.25">
      <c r="A872" t="str">
        <f>"81581 "</f>
        <v xml:space="preserve">81581 </v>
      </c>
      <c r="B872" t="s">
        <v>648</v>
      </c>
      <c r="C872" t="s">
        <v>1705</v>
      </c>
    </row>
    <row r="873" spans="1:3" x14ac:dyDescent="0.25">
      <c r="A873" t="str">
        <f>"89411 "</f>
        <v xml:space="preserve">89411 </v>
      </c>
      <c r="B873" t="s">
        <v>1706</v>
      </c>
      <c r="C873" t="s">
        <v>1707</v>
      </c>
    </row>
    <row r="874" spans="1:3" x14ac:dyDescent="0.25">
      <c r="A874" t="str">
        <f>"89412 "</f>
        <v xml:space="preserve">89412 </v>
      </c>
      <c r="B874" t="s">
        <v>1708</v>
      </c>
      <c r="C874" t="s">
        <v>1709</v>
      </c>
    </row>
    <row r="875" spans="1:3" x14ac:dyDescent="0.25">
      <c r="A875" t="str">
        <f>"89413 "</f>
        <v xml:space="preserve">89413 </v>
      </c>
      <c r="B875" t="s">
        <v>1710</v>
      </c>
      <c r="C875" t="s">
        <v>1711</v>
      </c>
    </row>
    <row r="876" spans="1:3" x14ac:dyDescent="0.25">
      <c r="A876" t="str">
        <f>"81591 "</f>
        <v xml:space="preserve">81591 </v>
      </c>
      <c r="B876" t="s">
        <v>1712</v>
      </c>
      <c r="C876" t="s">
        <v>1713</v>
      </c>
    </row>
    <row r="877" spans="1:3" x14ac:dyDescent="0.25">
      <c r="A877" t="str">
        <f>"89421 "</f>
        <v xml:space="preserve">89421 </v>
      </c>
      <c r="B877" t="s">
        <v>1714</v>
      </c>
      <c r="C877" t="s">
        <v>1715</v>
      </c>
    </row>
    <row r="878" spans="1:3" x14ac:dyDescent="0.25">
      <c r="A878" t="str">
        <f>"71001 "</f>
        <v xml:space="preserve">71001 </v>
      </c>
      <c r="B878" t="s">
        <v>1716</v>
      </c>
      <c r="C878" t="s">
        <v>1717</v>
      </c>
    </row>
    <row r="879" spans="1:3" x14ac:dyDescent="0.25">
      <c r="A879" t="str">
        <f>"8162A2"</f>
        <v>8162A2</v>
      </c>
      <c r="B879" t="s">
        <v>1624</v>
      </c>
      <c r="C879" t="s">
        <v>1625</v>
      </c>
    </row>
    <row r="880" spans="1:3" x14ac:dyDescent="0.25">
      <c r="A880" t="str">
        <f>"8162A5"</f>
        <v>8162A5</v>
      </c>
      <c r="B880" t="s">
        <v>1630</v>
      </c>
      <c r="C880" t="s">
        <v>1631</v>
      </c>
    </row>
    <row r="881" spans="1:3" x14ac:dyDescent="0.25">
      <c r="A881" t="str">
        <f>"8162A6"</f>
        <v>8162A6</v>
      </c>
      <c r="B881" t="s">
        <v>1718</v>
      </c>
      <c r="C881" t="s">
        <v>1719</v>
      </c>
    </row>
    <row r="882" spans="1:3" x14ac:dyDescent="0.25">
      <c r="A882" t="str">
        <f>"81601 "</f>
        <v xml:space="preserve">81601 </v>
      </c>
      <c r="B882" t="s">
        <v>1720</v>
      </c>
      <c r="C882" t="s">
        <v>1721</v>
      </c>
    </row>
    <row r="883" spans="1:3" x14ac:dyDescent="0.25">
      <c r="A883" t="str">
        <f>"81602 "</f>
        <v xml:space="preserve">81602 </v>
      </c>
      <c r="B883" t="s">
        <v>1722</v>
      </c>
      <c r="C883" t="s">
        <v>1723</v>
      </c>
    </row>
    <row r="884" spans="1:3" x14ac:dyDescent="0.25">
      <c r="A884" t="str">
        <f>"71101 "</f>
        <v xml:space="preserve">71101 </v>
      </c>
      <c r="B884" t="s">
        <v>1724</v>
      </c>
      <c r="C884" t="s">
        <v>1725</v>
      </c>
    </row>
    <row r="885" spans="1:3" x14ac:dyDescent="0.25">
      <c r="A885" t="str">
        <f>"81452 "</f>
        <v xml:space="preserve">81452 </v>
      </c>
      <c r="B885" t="s">
        <v>1726</v>
      </c>
      <c r="C885" t="s">
        <v>1727</v>
      </c>
    </row>
    <row r="886" spans="1:3" x14ac:dyDescent="0.25">
      <c r="A886" t="str">
        <f>"81611 "</f>
        <v xml:space="preserve">81611 </v>
      </c>
      <c r="B886" t="s">
        <v>1728</v>
      </c>
      <c r="C886" t="s">
        <v>1729</v>
      </c>
    </row>
    <row r="887" spans="1:3" x14ac:dyDescent="0.25">
      <c r="A887" t="str">
        <f>"02003 "</f>
        <v xml:space="preserve">02003 </v>
      </c>
      <c r="B887" t="s">
        <v>1730</v>
      </c>
      <c r="C887" t="s">
        <v>1731</v>
      </c>
    </row>
    <row r="888" spans="1:3" x14ac:dyDescent="0.25">
      <c r="A888" t="str">
        <f>"81422 "</f>
        <v xml:space="preserve">81422 </v>
      </c>
      <c r="B888" t="s">
        <v>1732</v>
      </c>
      <c r="C888" t="s">
        <v>1733</v>
      </c>
    </row>
    <row r="889" spans="1:3" x14ac:dyDescent="0.25">
      <c r="A889" t="str">
        <f>"763001"</f>
        <v>763001</v>
      </c>
      <c r="B889" t="s">
        <v>1734</v>
      </c>
      <c r="C889" t="s">
        <v>1735</v>
      </c>
    </row>
    <row r="890" spans="1:3" x14ac:dyDescent="0.25">
      <c r="A890" t="str">
        <f>"763002"</f>
        <v>763002</v>
      </c>
      <c r="B890" t="s">
        <v>1736</v>
      </c>
      <c r="C890" t="s">
        <v>1737</v>
      </c>
    </row>
    <row r="891" spans="1:3" x14ac:dyDescent="0.25">
      <c r="A891" t="str">
        <f>"763003"</f>
        <v>763003</v>
      </c>
      <c r="B891" t="s">
        <v>1738</v>
      </c>
      <c r="C891" t="s">
        <v>1739</v>
      </c>
    </row>
    <row r="892" spans="1:3" x14ac:dyDescent="0.25">
      <c r="A892" t="str">
        <f>"763004"</f>
        <v>763004</v>
      </c>
      <c r="B892" t="s">
        <v>1740</v>
      </c>
      <c r="C892" t="s">
        <v>1741</v>
      </c>
    </row>
    <row r="893" spans="1:3" x14ac:dyDescent="0.25">
      <c r="A893" t="str">
        <f>"763005"</f>
        <v>763005</v>
      </c>
      <c r="B893" t="s">
        <v>1742</v>
      </c>
      <c r="C893" t="s">
        <v>1743</v>
      </c>
    </row>
    <row r="894" spans="1:3" x14ac:dyDescent="0.25">
      <c r="A894" t="str">
        <f>"763006"</f>
        <v>763006</v>
      </c>
      <c r="B894" t="s">
        <v>1744</v>
      </c>
      <c r="C894" t="s">
        <v>1745</v>
      </c>
    </row>
    <row r="895" spans="1:3" x14ac:dyDescent="0.25">
      <c r="A895" t="str">
        <f>"763007"</f>
        <v>763007</v>
      </c>
      <c r="B895" t="s">
        <v>1746</v>
      </c>
      <c r="C895" t="s">
        <v>1747</v>
      </c>
    </row>
    <row r="896" spans="1:3" x14ac:dyDescent="0.25">
      <c r="A896" t="str">
        <f>"763008"</f>
        <v>763008</v>
      </c>
      <c r="B896" t="s">
        <v>1748</v>
      </c>
      <c r="C896" t="s">
        <v>1749</v>
      </c>
    </row>
    <row r="897" spans="1:3" x14ac:dyDescent="0.25">
      <c r="A897" t="str">
        <f>"763009"</f>
        <v>763009</v>
      </c>
      <c r="B897" t="s">
        <v>1750</v>
      </c>
      <c r="C897" t="s">
        <v>1751</v>
      </c>
    </row>
    <row r="898" spans="1:3" x14ac:dyDescent="0.25">
      <c r="A898" t="str">
        <f>"763010"</f>
        <v>763010</v>
      </c>
      <c r="B898" t="s">
        <v>1752</v>
      </c>
      <c r="C898" t="s">
        <v>1753</v>
      </c>
    </row>
    <row r="899" spans="1:3" x14ac:dyDescent="0.25">
      <c r="A899" t="str">
        <f>"763011"</f>
        <v>763011</v>
      </c>
      <c r="B899" t="s">
        <v>1754</v>
      </c>
      <c r="C899" t="s">
        <v>1755</v>
      </c>
    </row>
    <row r="900" spans="1:3" x14ac:dyDescent="0.25">
      <c r="A900" t="str">
        <f>"763012"</f>
        <v>763012</v>
      </c>
      <c r="B900" t="s">
        <v>1756</v>
      </c>
      <c r="C900" t="s">
        <v>1757</v>
      </c>
    </row>
    <row r="901" spans="1:3" x14ac:dyDescent="0.25">
      <c r="A901" t="str">
        <f>"763013"</f>
        <v>763013</v>
      </c>
      <c r="B901" t="s">
        <v>1758</v>
      </c>
      <c r="C901" t="s">
        <v>1759</v>
      </c>
    </row>
    <row r="902" spans="1:3" x14ac:dyDescent="0.25">
      <c r="A902" t="str">
        <f>"763014"</f>
        <v>763014</v>
      </c>
      <c r="B902" t="s">
        <v>1760</v>
      </c>
      <c r="C902" t="s">
        <v>1761</v>
      </c>
    </row>
    <row r="903" spans="1:3" x14ac:dyDescent="0.25">
      <c r="A903" t="str">
        <f>"763015"</f>
        <v>763015</v>
      </c>
      <c r="B903" t="s">
        <v>1762</v>
      </c>
      <c r="C903" t="s">
        <v>1763</v>
      </c>
    </row>
    <row r="904" spans="1:3" x14ac:dyDescent="0.25">
      <c r="A904" t="str">
        <f>"763016"</f>
        <v>763016</v>
      </c>
      <c r="B904" t="s">
        <v>1764</v>
      </c>
      <c r="C904" t="s">
        <v>1765</v>
      </c>
    </row>
    <row r="905" spans="1:3" x14ac:dyDescent="0.25">
      <c r="A905" t="str">
        <f>"763017"</f>
        <v>763017</v>
      </c>
      <c r="B905" t="s">
        <v>1766</v>
      </c>
      <c r="C905" t="s">
        <v>1767</v>
      </c>
    </row>
    <row r="906" spans="1:3" x14ac:dyDescent="0.25">
      <c r="A906" t="str">
        <f>"763018"</f>
        <v>763018</v>
      </c>
      <c r="B906" t="s">
        <v>1768</v>
      </c>
      <c r="C906" t="s">
        <v>1769</v>
      </c>
    </row>
    <row r="907" spans="1:3" x14ac:dyDescent="0.25">
      <c r="A907" t="str">
        <f>"763019"</f>
        <v>763019</v>
      </c>
      <c r="B907" t="s">
        <v>1770</v>
      </c>
      <c r="C907" t="s">
        <v>1771</v>
      </c>
    </row>
    <row r="908" spans="1:3" x14ac:dyDescent="0.25">
      <c r="A908" t="str">
        <f>"763020"</f>
        <v>763020</v>
      </c>
      <c r="B908" t="s">
        <v>1772</v>
      </c>
      <c r="C908" t="s">
        <v>1773</v>
      </c>
    </row>
    <row r="909" spans="1:3" x14ac:dyDescent="0.25">
      <c r="A909" t="str">
        <f>"763021"</f>
        <v>763021</v>
      </c>
      <c r="B909" t="s">
        <v>1774</v>
      </c>
      <c r="C909" t="s">
        <v>1775</v>
      </c>
    </row>
    <row r="910" spans="1:3" x14ac:dyDescent="0.25">
      <c r="A910" t="str">
        <f>"763022"</f>
        <v>763022</v>
      </c>
      <c r="B910" t="s">
        <v>1776</v>
      </c>
      <c r="C910" t="s">
        <v>1777</v>
      </c>
    </row>
    <row r="911" spans="1:3" x14ac:dyDescent="0.25">
      <c r="A911" t="str">
        <f>"763023"</f>
        <v>763023</v>
      </c>
      <c r="B911" t="s">
        <v>1778</v>
      </c>
      <c r="C911" t="s">
        <v>1779</v>
      </c>
    </row>
    <row r="912" spans="1:3" x14ac:dyDescent="0.25">
      <c r="A912" t="str">
        <f>"763024"</f>
        <v>763024</v>
      </c>
      <c r="B912" t="s">
        <v>1780</v>
      </c>
      <c r="C912" t="s">
        <v>1781</v>
      </c>
    </row>
    <row r="913" spans="1:3" x14ac:dyDescent="0.25">
      <c r="A913" t="str">
        <f>"763025"</f>
        <v>763025</v>
      </c>
      <c r="B913" t="s">
        <v>1782</v>
      </c>
      <c r="C913" t="s">
        <v>1783</v>
      </c>
    </row>
    <row r="914" spans="1:3" x14ac:dyDescent="0.25">
      <c r="A914" t="str">
        <f>"763026"</f>
        <v>763026</v>
      </c>
      <c r="B914" t="s">
        <v>1784</v>
      </c>
      <c r="C914" t="s">
        <v>1785</v>
      </c>
    </row>
    <row r="915" spans="1:3" x14ac:dyDescent="0.25">
      <c r="A915" t="str">
        <f>"764001"</f>
        <v>764001</v>
      </c>
      <c r="B915" t="s">
        <v>1786</v>
      </c>
      <c r="C915" t="s">
        <v>1787</v>
      </c>
    </row>
    <row r="916" spans="1:3" x14ac:dyDescent="0.25">
      <c r="A916" t="str">
        <f>"764002"</f>
        <v>764002</v>
      </c>
      <c r="B916" t="s">
        <v>1788</v>
      </c>
      <c r="C916" t="s">
        <v>1789</v>
      </c>
    </row>
    <row r="917" spans="1:3" x14ac:dyDescent="0.25">
      <c r="A917" t="str">
        <f>"764003"</f>
        <v>764003</v>
      </c>
      <c r="B917" t="s">
        <v>1790</v>
      </c>
      <c r="C917" t="s">
        <v>1791</v>
      </c>
    </row>
    <row r="918" spans="1:3" x14ac:dyDescent="0.25">
      <c r="A918" t="str">
        <f>"764004"</f>
        <v>764004</v>
      </c>
      <c r="B918" t="s">
        <v>1792</v>
      </c>
      <c r="C918" t="s">
        <v>1793</v>
      </c>
    </row>
    <row r="919" spans="1:3" x14ac:dyDescent="0.25">
      <c r="A919" t="str">
        <f>"764005"</f>
        <v>764005</v>
      </c>
      <c r="B919" t="s">
        <v>1794</v>
      </c>
      <c r="C919" t="s">
        <v>1795</v>
      </c>
    </row>
    <row r="920" spans="1:3" x14ac:dyDescent="0.25">
      <c r="A920" t="str">
        <f>"764006"</f>
        <v>764006</v>
      </c>
      <c r="B920" t="s">
        <v>1796</v>
      </c>
      <c r="C920" t="s">
        <v>1797</v>
      </c>
    </row>
    <row r="921" spans="1:3" x14ac:dyDescent="0.25">
      <c r="A921" t="str">
        <f>"764007"</f>
        <v>764007</v>
      </c>
      <c r="B921" t="s">
        <v>1798</v>
      </c>
      <c r="C921" t="s">
        <v>1799</v>
      </c>
    </row>
    <row r="922" spans="1:3" x14ac:dyDescent="0.25">
      <c r="A922" t="str">
        <f>"764008"</f>
        <v>764008</v>
      </c>
      <c r="B922" t="s">
        <v>1800</v>
      </c>
      <c r="C922" t="s">
        <v>1801</v>
      </c>
    </row>
    <row r="923" spans="1:3" x14ac:dyDescent="0.25">
      <c r="A923" t="str">
        <f>"764009"</f>
        <v>764009</v>
      </c>
      <c r="B923" t="s">
        <v>1802</v>
      </c>
      <c r="C923" t="s">
        <v>1803</v>
      </c>
    </row>
    <row r="924" spans="1:3" x14ac:dyDescent="0.25">
      <c r="A924" t="str">
        <f>"764010"</f>
        <v>764010</v>
      </c>
      <c r="B924" t="s">
        <v>1804</v>
      </c>
      <c r="C924" t="s">
        <v>1805</v>
      </c>
    </row>
    <row r="925" spans="1:3" x14ac:dyDescent="0.25">
      <c r="A925" t="str">
        <f>"764011"</f>
        <v>764011</v>
      </c>
      <c r="B925" t="s">
        <v>1806</v>
      </c>
      <c r="C925" t="s">
        <v>1807</v>
      </c>
    </row>
    <row r="926" spans="1:3" x14ac:dyDescent="0.25">
      <c r="A926" t="str">
        <f>"764012"</f>
        <v>764012</v>
      </c>
      <c r="B926" t="s">
        <v>1808</v>
      </c>
      <c r="C926" t="s">
        <v>1809</v>
      </c>
    </row>
    <row r="927" spans="1:3" x14ac:dyDescent="0.25">
      <c r="A927" t="str">
        <f>"764013"</f>
        <v>764013</v>
      </c>
      <c r="B927" t="s">
        <v>1810</v>
      </c>
      <c r="C927" t="s">
        <v>1811</v>
      </c>
    </row>
    <row r="928" spans="1:3" x14ac:dyDescent="0.25">
      <c r="A928" t="str">
        <f>"764014"</f>
        <v>764014</v>
      </c>
      <c r="B928" t="s">
        <v>1812</v>
      </c>
      <c r="C928" t="s">
        <v>1813</v>
      </c>
    </row>
    <row r="929" spans="1:3" x14ac:dyDescent="0.25">
      <c r="A929" t="str">
        <f>"764015"</f>
        <v>764015</v>
      </c>
      <c r="B929" t="s">
        <v>1814</v>
      </c>
      <c r="C929" t="s">
        <v>1815</v>
      </c>
    </row>
    <row r="930" spans="1:3" x14ac:dyDescent="0.25">
      <c r="A930" t="str">
        <f>"764016"</f>
        <v>764016</v>
      </c>
      <c r="B930" t="s">
        <v>1816</v>
      </c>
      <c r="C930" t="s">
        <v>1817</v>
      </c>
    </row>
    <row r="931" spans="1:3" x14ac:dyDescent="0.25">
      <c r="A931" t="str">
        <f>"764017"</f>
        <v>764017</v>
      </c>
      <c r="B931" t="s">
        <v>1818</v>
      </c>
      <c r="C931" t="s">
        <v>1819</v>
      </c>
    </row>
    <row r="932" spans="1:3" x14ac:dyDescent="0.25">
      <c r="A932" t="str">
        <f>"764018"</f>
        <v>764018</v>
      </c>
      <c r="B932" t="s">
        <v>1820</v>
      </c>
      <c r="C932" t="s">
        <v>1821</v>
      </c>
    </row>
    <row r="933" spans="1:3" x14ac:dyDescent="0.25">
      <c r="A933" t="str">
        <f>"764019"</f>
        <v>764019</v>
      </c>
      <c r="B933" t="s">
        <v>1822</v>
      </c>
      <c r="C933" t="s">
        <v>1823</v>
      </c>
    </row>
    <row r="934" spans="1:3" x14ac:dyDescent="0.25">
      <c r="A934" t="str">
        <f>"764020"</f>
        <v>764020</v>
      </c>
      <c r="B934" t="s">
        <v>1824</v>
      </c>
      <c r="C934" t="s">
        <v>1825</v>
      </c>
    </row>
    <row r="935" spans="1:3" x14ac:dyDescent="0.25">
      <c r="A935" t="str">
        <f>"764021"</f>
        <v>764021</v>
      </c>
      <c r="B935" t="s">
        <v>1826</v>
      </c>
      <c r="C935" t="s">
        <v>1827</v>
      </c>
    </row>
    <row r="936" spans="1:3" x14ac:dyDescent="0.25">
      <c r="A936" t="str">
        <f>"764022"</f>
        <v>764022</v>
      </c>
      <c r="B936" t="s">
        <v>1828</v>
      </c>
      <c r="C936" t="s">
        <v>1829</v>
      </c>
    </row>
    <row r="937" spans="1:3" x14ac:dyDescent="0.25">
      <c r="A937" t="str">
        <f>"764023"</f>
        <v>764023</v>
      </c>
      <c r="B937" t="s">
        <v>1830</v>
      </c>
      <c r="C937" t="s">
        <v>1831</v>
      </c>
    </row>
    <row r="938" spans="1:3" x14ac:dyDescent="0.25">
      <c r="A938" t="str">
        <f>"764024"</f>
        <v>764024</v>
      </c>
      <c r="B938" t="s">
        <v>1832</v>
      </c>
      <c r="C938" t="s">
        <v>1833</v>
      </c>
    </row>
    <row r="939" spans="1:3" x14ac:dyDescent="0.25">
      <c r="A939" t="str">
        <f>"764025"</f>
        <v>764025</v>
      </c>
      <c r="B939" t="s">
        <v>1834</v>
      </c>
      <c r="C939" t="s">
        <v>1835</v>
      </c>
    </row>
    <row r="940" spans="1:3" x14ac:dyDescent="0.25">
      <c r="A940" t="str">
        <f>"764026"</f>
        <v>764026</v>
      </c>
      <c r="B940" t="s">
        <v>1836</v>
      </c>
      <c r="C940" t="s">
        <v>1837</v>
      </c>
    </row>
    <row r="941" spans="1:3" x14ac:dyDescent="0.25">
      <c r="A941" t="str">
        <f>"764027"</f>
        <v>764027</v>
      </c>
      <c r="B941" t="s">
        <v>1838</v>
      </c>
      <c r="C941" t="s">
        <v>1839</v>
      </c>
    </row>
    <row r="942" spans="1:3" x14ac:dyDescent="0.25">
      <c r="A942" t="str">
        <f>"764028"</f>
        <v>764028</v>
      </c>
      <c r="B942" t="s">
        <v>1840</v>
      </c>
      <c r="C942" t="s">
        <v>1841</v>
      </c>
    </row>
    <row r="943" spans="1:3" x14ac:dyDescent="0.25">
      <c r="A943" t="str">
        <f>"764029"</f>
        <v>764029</v>
      </c>
      <c r="B943" t="s">
        <v>1842</v>
      </c>
      <c r="C943" t="s">
        <v>1843</v>
      </c>
    </row>
    <row r="944" spans="1:3" x14ac:dyDescent="0.25">
      <c r="A944" t="str">
        <f>"764030"</f>
        <v>764030</v>
      </c>
      <c r="B944" t="s">
        <v>1844</v>
      </c>
      <c r="C944" t="s">
        <v>1845</v>
      </c>
    </row>
    <row r="945" spans="1:3" x14ac:dyDescent="0.25">
      <c r="A945" t="str">
        <f>"764031"</f>
        <v>764031</v>
      </c>
      <c r="B945" t="s">
        <v>1846</v>
      </c>
      <c r="C945" t="s">
        <v>1847</v>
      </c>
    </row>
    <row r="946" spans="1:3" x14ac:dyDescent="0.25">
      <c r="A946" t="str">
        <f>"764032"</f>
        <v>764032</v>
      </c>
      <c r="B946" t="s">
        <v>1848</v>
      </c>
      <c r="C946" t="s">
        <v>1849</v>
      </c>
    </row>
    <row r="947" spans="1:3" x14ac:dyDescent="0.25">
      <c r="A947" t="str">
        <f>"764033"</f>
        <v>764033</v>
      </c>
      <c r="B947" t="s">
        <v>1850</v>
      </c>
      <c r="C947" t="s">
        <v>1851</v>
      </c>
    </row>
    <row r="948" spans="1:3" x14ac:dyDescent="0.25">
      <c r="A948" t="str">
        <f>"764034"</f>
        <v>764034</v>
      </c>
      <c r="B948" t="s">
        <v>1852</v>
      </c>
      <c r="C948" t="s">
        <v>1853</v>
      </c>
    </row>
    <row r="949" spans="1:3" x14ac:dyDescent="0.25">
      <c r="A949" t="str">
        <f>"761001"</f>
        <v>761001</v>
      </c>
      <c r="B949" t="s">
        <v>1854</v>
      </c>
      <c r="C949" t="s">
        <v>1855</v>
      </c>
    </row>
    <row r="950" spans="1:3" x14ac:dyDescent="0.25">
      <c r="A950" t="str">
        <f>"761002"</f>
        <v>761002</v>
      </c>
      <c r="B950" t="s">
        <v>1856</v>
      </c>
      <c r="C950" t="s">
        <v>1857</v>
      </c>
    </row>
    <row r="951" spans="1:3" x14ac:dyDescent="0.25">
      <c r="A951" t="str">
        <f>"761003"</f>
        <v>761003</v>
      </c>
      <c r="B951" t="s">
        <v>1858</v>
      </c>
      <c r="C951" t="s">
        <v>1859</v>
      </c>
    </row>
    <row r="952" spans="1:3" x14ac:dyDescent="0.25">
      <c r="A952" t="str">
        <f>"761004"</f>
        <v>761004</v>
      </c>
      <c r="B952" t="s">
        <v>1860</v>
      </c>
      <c r="C952" t="s">
        <v>1861</v>
      </c>
    </row>
    <row r="953" spans="1:3" x14ac:dyDescent="0.25">
      <c r="A953" t="str">
        <f>"761005"</f>
        <v>761005</v>
      </c>
      <c r="B953" t="s">
        <v>1862</v>
      </c>
      <c r="C953" t="s">
        <v>1863</v>
      </c>
    </row>
    <row r="954" spans="1:3" x14ac:dyDescent="0.25">
      <c r="A954" t="str">
        <f>"761006"</f>
        <v>761006</v>
      </c>
      <c r="B954" t="s">
        <v>1864</v>
      </c>
      <c r="C954" t="s">
        <v>1865</v>
      </c>
    </row>
    <row r="955" spans="1:3" x14ac:dyDescent="0.25">
      <c r="A955" t="str">
        <f>"761007"</f>
        <v>761007</v>
      </c>
      <c r="B955" t="s">
        <v>1866</v>
      </c>
      <c r="C955" t="s">
        <v>1866</v>
      </c>
    </row>
    <row r="956" spans="1:3" x14ac:dyDescent="0.25">
      <c r="A956" t="str">
        <f>"761008"</f>
        <v>761008</v>
      </c>
      <c r="B956" t="s">
        <v>1867</v>
      </c>
      <c r="C956" t="s">
        <v>1868</v>
      </c>
    </row>
    <row r="957" spans="1:3" x14ac:dyDescent="0.25">
      <c r="A957" t="str">
        <f>"761009"</f>
        <v>761009</v>
      </c>
      <c r="B957" t="s">
        <v>1869</v>
      </c>
      <c r="C957" t="s">
        <v>1870</v>
      </c>
    </row>
    <row r="958" spans="1:3" x14ac:dyDescent="0.25">
      <c r="A958" t="str">
        <f>"761010"</f>
        <v>761010</v>
      </c>
      <c r="B958" t="s">
        <v>1871</v>
      </c>
      <c r="C958" t="s">
        <v>1872</v>
      </c>
    </row>
    <row r="959" spans="1:3" x14ac:dyDescent="0.25">
      <c r="A959" t="str">
        <f>"761011"</f>
        <v>761011</v>
      </c>
      <c r="B959" t="s">
        <v>1873</v>
      </c>
      <c r="C959" t="s">
        <v>1874</v>
      </c>
    </row>
    <row r="960" spans="1:3" x14ac:dyDescent="0.25">
      <c r="A960" t="str">
        <f>"761012"</f>
        <v>761012</v>
      </c>
      <c r="B960" t="s">
        <v>1875</v>
      </c>
      <c r="C960" t="s">
        <v>1876</v>
      </c>
    </row>
    <row r="961" spans="1:3" x14ac:dyDescent="0.25">
      <c r="A961" t="str">
        <f>"761013"</f>
        <v>761013</v>
      </c>
      <c r="B961" t="s">
        <v>1877</v>
      </c>
      <c r="C961" t="s">
        <v>1878</v>
      </c>
    </row>
    <row r="962" spans="1:3" x14ac:dyDescent="0.25">
      <c r="A962" t="str">
        <f>"761014"</f>
        <v>761014</v>
      </c>
      <c r="B962" t="s">
        <v>1879</v>
      </c>
      <c r="C962" t="s">
        <v>1880</v>
      </c>
    </row>
    <row r="963" spans="1:3" x14ac:dyDescent="0.25">
      <c r="A963" t="str">
        <f>"761015"</f>
        <v>761015</v>
      </c>
      <c r="B963" t="s">
        <v>1881</v>
      </c>
      <c r="C963" t="s">
        <v>1882</v>
      </c>
    </row>
    <row r="964" spans="1:3" x14ac:dyDescent="0.25">
      <c r="A964" t="str">
        <f>"761016"</f>
        <v>761016</v>
      </c>
      <c r="B964" t="s">
        <v>1883</v>
      </c>
      <c r="C964" t="s">
        <v>1884</v>
      </c>
    </row>
    <row r="965" spans="1:3" x14ac:dyDescent="0.25">
      <c r="A965" t="str">
        <f>"761017"</f>
        <v>761017</v>
      </c>
      <c r="B965" t="s">
        <v>1885</v>
      </c>
      <c r="C965" t="s">
        <v>1886</v>
      </c>
    </row>
    <row r="966" spans="1:3" x14ac:dyDescent="0.25">
      <c r="A966" t="str">
        <f>"761018"</f>
        <v>761018</v>
      </c>
      <c r="B966" t="s">
        <v>1887</v>
      </c>
      <c r="C966" t="s">
        <v>1888</v>
      </c>
    </row>
    <row r="967" spans="1:3" x14ac:dyDescent="0.25">
      <c r="A967" t="str">
        <f>"761019"</f>
        <v>761019</v>
      </c>
      <c r="B967" t="s">
        <v>1889</v>
      </c>
      <c r="C967" t="s">
        <v>1890</v>
      </c>
    </row>
    <row r="968" spans="1:3" x14ac:dyDescent="0.25">
      <c r="A968" t="str">
        <f>"761020"</f>
        <v>761020</v>
      </c>
      <c r="B968" t="s">
        <v>1891</v>
      </c>
      <c r="C968" t="s">
        <v>1892</v>
      </c>
    </row>
    <row r="969" spans="1:3" x14ac:dyDescent="0.25">
      <c r="A969" t="str">
        <f>"761021"</f>
        <v>761021</v>
      </c>
      <c r="B969" t="s">
        <v>1893</v>
      </c>
      <c r="C969" t="s">
        <v>1894</v>
      </c>
    </row>
    <row r="970" spans="1:3" x14ac:dyDescent="0.25">
      <c r="A970" t="str">
        <f>"761022"</f>
        <v>761022</v>
      </c>
      <c r="B970" t="s">
        <v>1895</v>
      </c>
      <c r="C970" t="s">
        <v>1896</v>
      </c>
    </row>
    <row r="971" spans="1:3" x14ac:dyDescent="0.25">
      <c r="A971" t="str">
        <f>"761023"</f>
        <v>761023</v>
      </c>
      <c r="B971" t="s">
        <v>1897</v>
      </c>
      <c r="C971" t="s">
        <v>1898</v>
      </c>
    </row>
    <row r="972" spans="1:3" x14ac:dyDescent="0.25">
      <c r="A972" t="str">
        <f>"761024"</f>
        <v>761024</v>
      </c>
      <c r="B972" t="s">
        <v>1899</v>
      </c>
      <c r="C972" t="s">
        <v>1900</v>
      </c>
    </row>
    <row r="973" spans="1:3" x14ac:dyDescent="0.25">
      <c r="A973" t="str">
        <f>"761025"</f>
        <v>761025</v>
      </c>
      <c r="B973" t="s">
        <v>1901</v>
      </c>
      <c r="C973" t="s">
        <v>1902</v>
      </c>
    </row>
    <row r="974" spans="1:3" x14ac:dyDescent="0.25">
      <c r="A974" t="str">
        <f>"761026"</f>
        <v>761026</v>
      </c>
      <c r="B974" t="s">
        <v>1903</v>
      </c>
      <c r="C974" t="s">
        <v>1904</v>
      </c>
    </row>
    <row r="975" spans="1:3" x14ac:dyDescent="0.25">
      <c r="A975" t="str">
        <f>"761027"</f>
        <v>761027</v>
      </c>
      <c r="B975" t="s">
        <v>1905</v>
      </c>
      <c r="C975" t="s">
        <v>1906</v>
      </c>
    </row>
    <row r="976" spans="1:3" x14ac:dyDescent="0.25">
      <c r="A976" t="str">
        <f>"761028"</f>
        <v>761028</v>
      </c>
      <c r="B976" t="s">
        <v>1907</v>
      </c>
      <c r="C976" t="s">
        <v>1908</v>
      </c>
    </row>
    <row r="977" spans="1:3" x14ac:dyDescent="0.25">
      <c r="A977" t="str">
        <f>"761029"</f>
        <v>761029</v>
      </c>
      <c r="B977" t="s">
        <v>1909</v>
      </c>
      <c r="C977" t="s">
        <v>1910</v>
      </c>
    </row>
    <row r="978" spans="1:3" x14ac:dyDescent="0.25">
      <c r="A978" t="str">
        <f>"761030"</f>
        <v>761030</v>
      </c>
      <c r="B978" t="s">
        <v>1911</v>
      </c>
      <c r="C978" t="s">
        <v>1912</v>
      </c>
    </row>
    <row r="979" spans="1:3" x14ac:dyDescent="0.25">
      <c r="A979" t="str">
        <f>"761031"</f>
        <v>761031</v>
      </c>
      <c r="B979" t="s">
        <v>1913</v>
      </c>
      <c r="C979" t="s">
        <v>1914</v>
      </c>
    </row>
    <row r="980" spans="1:3" x14ac:dyDescent="0.25">
      <c r="A980" t="str">
        <f>"761032"</f>
        <v>761032</v>
      </c>
      <c r="B980" t="s">
        <v>1915</v>
      </c>
      <c r="C980" t="s">
        <v>1916</v>
      </c>
    </row>
    <row r="981" spans="1:3" x14ac:dyDescent="0.25">
      <c r="A981" t="str">
        <f>"761033"</f>
        <v>761033</v>
      </c>
      <c r="B981" t="s">
        <v>1917</v>
      </c>
      <c r="C981" t="s">
        <v>1918</v>
      </c>
    </row>
    <row r="982" spans="1:3" x14ac:dyDescent="0.25">
      <c r="A982" t="str">
        <f>"761034"</f>
        <v>761034</v>
      </c>
      <c r="B982" t="s">
        <v>1919</v>
      </c>
      <c r="C982" t="s">
        <v>1920</v>
      </c>
    </row>
    <row r="983" spans="1:3" x14ac:dyDescent="0.25">
      <c r="A983" t="str">
        <f>"761035"</f>
        <v>761035</v>
      </c>
      <c r="B983" t="s">
        <v>1921</v>
      </c>
      <c r="C983" t="s">
        <v>1922</v>
      </c>
    </row>
    <row r="984" spans="1:3" x14ac:dyDescent="0.25">
      <c r="A984" t="str">
        <f>"761036"</f>
        <v>761036</v>
      </c>
      <c r="B984" t="s">
        <v>1923</v>
      </c>
      <c r="C984" t="s">
        <v>1924</v>
      </c>
    </row>
    <row r="985" spans="1:3" x14ac:dyDescent="0.25">
      <c r="A985" t="str">
        <f>"761037"</f>
        <v>761037</v>
      </c>
      <c r="B985" t="s">
        <v>1925</v>
      </c>
      <c r="C985" t="s">
        <v>1926</v>
      </c>
    </row>
    <row r="986" spans="1:3" x14ac:dyDescent="0.25">
      <c r="A986" t="str">
        <f>"761038"</f>
        <v>761038</v>
      </c>
      <c r="B986" t="s">
        <v>1927</v>
      </c>
      <c r="C986" t="s">
        <v>1928</v>
      </c>
    </row>
    <row r="987" spans="1:3" x14ac:dyDescent="0.25">
      <c r="A987" t="str">
        <f>"761039"</f>
        <v>761039</v>
      </c>
      <c r="B987" t="s">
        <v>1929</v>
      </c>
      <c r="C987" t="s">
        <v>1930</v>
      </c>
    </row>
    <row r="988" spans="1:3" x14ac:dyDescent="0.25">
      <c r="A988" t="str">
        <f>"761040"</f>
        <v>761040</v>
      </c>
      <c r="B988" t="s">
        <v>1931</v>
      </c>
      <c r="C988" t="s">
        <v>1932</v>
      </c>
    </row>
    <row r="989" spans="1:3" x14ac:dyDescent="0.25">
      <c r="A989" t="str">
        <f>"761041"</f>
        <v>761041</v>
      </c>
      <c r="B989" t="s">
        <v>1933</v>
      </c>
      <c r="C989" t="s">
        <v>1934</v>
      </c>
    </row>
    <row r="990" spans="1:3" x14ac:dyDescent="0.25">
      <c r="A990" t="str">
        <f>"761042"</f>
        <v>761042</v>
      </c>
      <c r="B990" t="s">
        <v>1935</v>
      </c>
      <c r="C990" t="s">
        <v>1936</v>
      </c>
    </row>
    <row r="991" spans="1:3" x14ac:dyDescent="0.25">
      <c r="A991" t="str">
        <f>"761043"</f>
        <v>761043</v>
      </c>
      <c r="B991" t="s">
        <v>1937</v>
      </c>
      <c r="C991" t="s">
        <v>1938</v>
      </c>
    </row>
    <row r="992" spans="1:3" x14ac:dyDescent="0.25">
      <c r="A992" t="str">
        <f>"761044"</f>
        <v>761044</v>
      </c>
      <c r="B992" t="s">
        <v>1939</v>
      </c>
      <c r="C992" t="s">
        <v>1940</v>
      </c>
    </row>
    <row r="993" spans="1:3" x14ac:dyDescent="0.25">
      <c r="A993" t="str">
        <f>"761045"</f>
        <v>761045</v>
      </c>
      <c r="B993" t="s">
        <v>1941</v>
      </c>
      <c r="C993" t="s">
        <v>1942</v>
      </c>
    </row>
    <row r="994" spans="1:3" x14ac:dyDescent="0.25">
      <c r="A994" t="str">
        <f>"761046"</f>
        <v>761046</v>
      </c>
      <c r="B994" t="s">
        <v>1943</v>
      </c>
      <c r="C994" t="s">
        <v>1944</v>
      </c>
    </row>
    <row r="995" spans="1:3" x14ac:dyDescent="0.25">
      <c r="A995" t="str">
        <f>"761047"</f>
        <v>761047</v>
      </c>
      <c r="B995" t="s">
        <v>1945</v>
      </c>
      <c r="C995" t="s">
        <v>1946</v>
      </c>
    </row>
    <row r="996" spans="1:3" x14ac:dyDescent="0.25">
      <c r="A996" t="str">
        <f>"761048"</f>
        <v>761048</v>
      </c>
      <c r="B996" t="s">
        <v>1947</v>
      </c>
      <c r="C996" t="s">
        <v>1948</v>
      </c>
    </row>
    <row r="997" spans="1:3" x14ac:dyDescent="0.25">
      <c r="A997" t="str">
        <f>"761049"</f>
        <v>761049</v>
      </c>
      <c r="B997" t="s">
        <v>1949</v>
      </c>
      <c r="C997" t="s">
        <v>1950</v>
      </c>
    </row>
    <row r="998" spans="1:3" x14ac:dyDescent="0.25">
      <c r="A998" t="str">
        <f>"761050"</f>
        <v>761050</v>
      </c>
      <c r="B998" t="s">
        <v>1951</v>
      </c>
      <c r="C998" t="s">
        <v>1952</v>
      </c>
    </row>
    <row r="999" spans="1:3" x14ac:dyDescent="0.25">
      <c r="A999" t="str">
        <f>"761051"</f>
        <v>761051</v>
      </c>
      <c r="B999" t="s">
        <v>1953</v>
      </c>
      <c r="C999" t="s">
        <v>1954</v>
      </c>
    </row>
    <row r="1000" spans="1:3" x14ac:dyDescent="0.25">
      <c r="A1000" t="str">
        <f>"761052"</f>
        <v>761052</v>
      </c>
      <c r="B1000" t="s">
        <v>1955</v>
      </c>
      <c r="C1000" t="s">
        <v>1956</v>
      </c>
    </row>
    <row r="1001" spans="1:3" x14ac:dyDescent="0.25">
      <c r="A1001" t="str">
        <f>"761053"</f>
        <v>761053</v>
      </c>
      <c r="B1001" t="s">
        <v>1957</v>
      </c>
      <c r="C1001" t="s">
        <v>1958</v>
      </c>
    </row>
    <row r="1002" spans="1:3" x14ac:dyDescent="0.25">
      <c r="A1002" t="str">
        <f>"761054"</f>
        <v>761054</v>
      </c>
      <c r="B1002" t="s">
        <v>1959</v>
      </c>
      <c r="C1002" t="s">
        <v>1960</v>
      </c>
    </row>
    <row r="1003" spans="1:3" x14ac:dyDescent="0.25">
      <c r="A1003" t="str">
        <f>"761055"</f>
        <v>761055</v>
      </c>
      <c r="B1003" t="s">
        <v>1961</v>
      </c>
      <c r="C1003" t="s">
        <v>1962</v>
      </c>
    </row>
    <row r="1004" spans="1:3" x14ac:dyDescent="0.25">
      <c r="A1004" t="str">
        <f>"761056"</f>
        <v>761056</v>
      </c>
      <c r="B1004" t="s">
        <v>1963</v>
      </c>
      <c r="C1004" t="s">
        <v>1964</v>
      </c>
    </row>
    <row r="1005" spans="1:3" x14ac:dyDescent="0.25">
      <c r="A1005" t="str">
        <f>"761057"</f>
        <v>761057</v>
      </c>
      <c r="B1005" t="s">
        <v>1965</v>
      </c>
      <c r="C1005" t="s">
        <v>1966</v>
      </c>
    </row>
    <row r="1006" spans="1:3" x14ac:dyDescent="0.25">
      <c r="A1006" t="str">
        <f>"761058"</f>
        <v>761058</v>
      </c>
      <c r="B1006" t="s">
        <v>1967</v>
      </c>
      <c r="C1006" t="s">
        <v>1968</v>
      </c>
    </row>
    <row r="1007" spans="1:3" x14ac:dyDescent="0.25">
      <c r="A1007" t="str">
        <f>"761059"</f>
        <v>761059</v>
      </c>
      <c r="B1007" t="s">
        <v>1969</v>
      </c>
      <c r="C1007" t="s">
        <v>1970</v>
      </c>
    </row>
    <row r="1008" spans="1:3" x14ac:dyDescent="0.25">
      <c r="A1008" t="str">
        <f>"761060"</f>
        <v>761060</v>
      </c>
      <c r="B1008" t="s">
        <v>1971</v>
      </c>
      <c r="C1008" t="s">
        <v>1972</v>
      </c>
    </row>
    <row r="1009" spans="1:3" x14ac:dyDescent="0.25">
      <c r="A1009" t="str">
        <f>"761061"</f>
        <v>761061</v>
      </c>
      <c r="B1009" t="s">
        <v>1973</v>
      </c>
      <c r="C1009" t="s">
        <v>1974</v>
      </c>
    </row>
    <row r="1010" spans="1:3" x14ac:dyDescent="0.25">
      <c r="A1010" t="str">
        <f>"761062"</f>
        <v>761062</v>
      </c>
      <c r="B1010" t="s">
        <v>1975</v>
      </c>
      <c r="C1010" t="s">
        <v>1976</v>
      </c>
    </row>
    <row r="1011" spans="1:3" x14ac:dyDescent="0.25">
      <c r="A1011" t="str">
        <f>"761063"</f>
        <v>761063</v>
      </c>
      <c r="B1011" t="s">
        <v>1977</v>
      </c>
      <c r="C1011" t="s">
        <v>1978</v>
      </c>
    </row>
    <row r="1012" spans="1:3" x14ac:dyDescent="0.25">
      <c r="A1012" t="str">
        <f>"761064"</f>
        <v>761064</v>
      </c>
      <c r="B1012" t="s">
        <v>1979</v>
      </c>
      <c r="C1012" t="s">
        <v>1980</v>
      </c>
    </row>
    <row r="1013" spans="1:3" x14ac:dyDescent="0.25">
      <c r="A1013" t="str">
        <f>"761065"</f>
        <v>761065</v>
      </c>
      <c r="B1013" t="s">
        <v>1981</v>
      </c>
      <c r="C1013" t="s">
        <v>1982</v>
      </c>
    </row>
    <row r="1014" spans="1:3" x14ac:dyDescent="0.25">
      <c r="A1014" t="str">
        <f>"761066"</f>
        <v>761066</v>
      </c>
      <c r="B1014" t="s">
        <v>1983</v>
      </c>
      <c r="C1014" t="s">
        <v>1984</v>
      </c>
    </row>
    <row r="1015" spans="1:3" x14ac:dyDescent="0.25">
      <c r="A1015" t="str">
        <f>"761067"</f>
        <v>761067</v>
      </c>
      <c r="B1015" t="s">
        <v>1985</v>
      </c>
      <c r="C1015" t="s">
        <v>1986</v>
      </c>
    </row>
    <row r="1016" spans="1:3" x14ac:dyDescent="0.25">
      <c r="A1016" t="str">
        <f>"761068"</f>
        <v>761068</v>
      </c>
      <c r="B1016" t="s">
        <v>1987</v>
      </c>
      <c r="C1016" t="s">
        <v>1988</v>
      </c>
    </row>
    <row r="1017" spans="1:3" x14ac:dyDescent="0.25">
      <c r="A1017" t="str">
        <f>"761069"</f>
        <v>761069</v>
      </c>
      <c r="B1017" t="s">
        <v>1989</v>
      </c>
      <c r="C1017" t="s">
        <v>1990</v>
      </c>
    </row>
    <row r="1018" spans="1:3" x14ac:dyDescent="0.25">
      <c r="A1018" t="str">
        <f>"761070"</f>
        <v>761070</v>
      </c>
      <c r="B1018" t="s">
        <v>1991</v>
      </c>
      <c r="C1018" t="s">
        <v>1992</v>
      </c>
    </row>
    <row r="1019" spans="1:3" x14ac:dyDescent="0.25">
      <c r="A1019" t="str">
        <f>"761071"</f>
        <v>761071</v>
      </c>
      <c r="B1019" t="s">
        <v>1993</v>
      </c>
      <c r="C1019" t="s">
        <v>1994</v>
      </c>
    </row>
    <row r="1020" spans="1:3" x14ac:dyDescent="0.25">
      <c r="A1020" t="str">
        <f>"761072"</f>
        <v>761072</v>
      </c>
      <c r="B1020" t="s">
        <v>1995</v>
      </c>
      <c r="C1020" t="s">
        <v>1996</v>
      </c>
    </row>
    <row r="1021" spans="1:3" x14ac:dyDescent="0.25">
      <c r="A1021" t="str">
        <f>"761073"</f>
        <v>761073</v>
      </c>
      <c r="B1021" t="s">
        <v>1997</v>
      </c>
      <c r="C1021" t="s">
        <v>1998</v>
      </c>
    </row>
    <row r="1022" spans="1:3" x14ac:dyDescent="0.25">
      <c r="A1022" t="str">
        <f>"761074"</f>
        <v>761074</v>
      </c>
      <c r="B1022" t="s">
        <v>1999</v>
      </c>
      <c r="C1022" t="s">
        <v>2000</v>
      </c>
    </row>
    <row r="1023" spans="1:3" x14ac:dyDescent="0.25">
      <c r="A1023" t="str">
        <f>"761075"</f>
        <v>761075</v>
      </c>
      <c r="B1023" t="s">
        <v>2001</v>
      </c>
      <c r="C1023" t="s">
        <v>2002</v>
      </c>
    </row>
    <row r="1024" spans="1:3" x14ac:dyDescent="0.25">
      <c r="A1024" t="str">
        <f>"761076"</f>
        <v>761076</v>
      </c>
      <c r="B1024" t="s">
        <v>2003</v>
      </c>
      <c r="C1024" t="s">
        <v>2004</v>
      </c>
    </row>
    <row r="1025" spans="1:3" x14ac:dyDescent="0.25">
      <c r="A1025" t="str">
        <f>"761077"</f>
        <v>761077</v>
      </c>
      <c r="B1025" t="s">
        <v>2005</v>
      </c>
      <c r="C1025" t="s">
        <v>2006</v>
      </c>
    </row>
    <row r="1026" spans="1:3" x14ac:dyDescent="0.25">
      <c r="A1026" t="str">
        <f>"761078"</f>
        <v>761078</v>
      </c>
      <c r="B1026" t="s">
        <v>2007</v>
      </c>
      <c r="C1026" t="s">
        <v>2008</v>
      </c>
    </row>
    <row r="1027" spans="1:3" x14ac:dyDescent="0.25">
      <c r="A1027" t="str">
        <f>"761079"</f>
        <v>761079</v>
      </c>
      <c r="B1027" t="s">
        <v>2009</v>
      </c>
      <c r="C1027" t="s">
        <v>2010</v>
      </c>
    </row>
    <row r="1028" spans="1:3" x14ac:dyDescent="0.25">
      <c r="A1028" t="str">
        <f>"761080"</f>
        <v>761080</v>
      </c>
      <c r="B1028" t="s">
        <v>2011</v>
      </c>
      <c r="C1028" t="s">
        <v>2012</v>
      </c>
    </row>
    <row r="1029" spans="1:3" x14ac:dyDescent="0.25">
      <c r="A1029" t="str">
        <f>"761081"</f>
        <v>761081</v>
      </c>
      <c r="B1029" t="s">
        <v>2013</v>
      </c>
      <c r="C1029" t="s">
        <v>2014</v>
      </c>
    </row>
    <row r="1030" spans="1:3" x14ac:dyDescent="0.25">
      <c r="A1030" t="str">
        <f>"761082"</f>
        <v>761082</v>
      </c>
      <c r="B1030" t="s">
        <v>2015</v>
      </c>
      <c r="C1030" t="s">
        <v>2016</v>
      </c>
    </row>
    <row r="1031" spans="1:3" x14ac:dyDescent="0.25">
      <c r="A1031" t="str">
        <f>"761083"</f>
        <v>761083</v>
      </c>
      <c r="B1031" t="s">
        <v>2017</v>
      </c>
      <c r="C1031" t="s">
        <v>2018</v>
      </c>
    </row>
    <row r="1032" spans="1:3" x14ac:dyDescent="0.25">
      <c r="A1032" t="str">
        <f>"761084"</f>
        <v>761084</v>
      </c>
      <c r="B1032" t="s">
        <v>2019</v>
      </c>
      <c r="C1032" t="s">
        <v>2020</v>
      </c>
    </row>
    <row r="1033" spans="1:3" x14ac:dyDescent="0.25">
      <c r="A1033" t="str">
        <f>"761085"</f>
        <v>761085</v>
      </c>
      <c r="B1033" t="s">
        <v>2021</v>
      </c>
      <c r="C1033" t="s">
        <v>2022</v>
      </c>
    </row>
    <row r="1034" spans="1:3" x14ac:dyDescent="0.25">
      <c r="A1034" t="str">
        <f>"761086"</f>
        <v>761086</v>
      </c>
      <c r="B1034" t="s">
        <v>2023</v>
      </c>
      <c r="C1034" t="s">
        <v>2024</v>
      </c>
    </row>
    <row r="1035" spans="1:3" x14ac:dyDescent="0.25">
      <c r="A1035" t="str">
        <f>"761087"</f>
        <v>761087</v>
      </c>
      <c r="B1035" t="s">
        <v>2025</v>
      </c>
      <c r="C1035" t="s">
        <v>2026</v>
      </c>
    </row>
    <row r="1036" spans="1:3" x14ac:dyDescent="0.25">
      <c r="A1036" t="str">
        <f>"761088"</f>
        <v>761088</v>
      </c>
      <c r="B1036" t="s">
        <v>2027</v>
      </c>
      <c r="C1036" t="s">
        <v>2028</v>
      </c>
    </row>
    <row r="1037" spans="1:3" x14ac:dyDescent="0.25">
      <c r="A1037" t="str">
        <f>"761089"</f>
        <v>761089</v>
      </c>
      <c r="B1037" t="s">
        <v>2029</v>
      </c>
      <c r="C1037" t="s">
        <v>2030</v>
      </c>
    </row>
    <row r="1038" spans="1:3" x14ac:dyDescent="0.25">
      <c r="A1038" t="str">
        <f>"761090"</f>
        <v>761090</v>
      </c>
      <c r="B1038" t="s">
        <v>2031</v>
      </c>
      <c r="C1038" t="s">
        <v>2032</v>
      </c>
    </row>
    <row r="1039" spans="1:3" x14ac:dyDescent="0.25">
      <c r="A1039" t="str">
        <f>"761091"</f>
        <v>761091</v>
      </c>
      <c r="B1039" t="s">
        <v>2033</v>
      </c>
      <c r="C1039" t="s">
        <v>2033</v>
      </c>
    </row>
    <row r="1040" spans="1:3" x14ac:dyDescent="0.25">
      <c r="A1040" t="str">
        <f>"761092"</f>
        <v>761092</v>
      </c>
      <c r="B1040" t="s">
        <v>2034</v>
      </c>
      <c r="C1040" t="s">
        <v>2035</v>
      </c>
    </row>
    <row r="1041" spans="1:3" x14ac:dyDescent="0.25">
      <c r="A1041" t="str">
        <f>"761093"</f>
        <v>761093</v>
      </c>
      <c r="B1041" t="s">
        <v>2036</v>
      </c>
      <c r="C1041" t="s">
        <v>2037</v>
      </c>
    </row>
    <row r="1042" spans="1:3" x14ac:dyDescent="0.25">
      <c r="A1042" t="str">
        <f>"761094"</f>
        <v>761094</v>
      </c>
      <c r="B1042" t="s">
        <v>2038</v>
      </c>
      <c r="C1042" t="s">
        <v>2038</v>
      </c>
    </row>
    <row r="1043" spans="1:3" x14ac:dyDescent="0.25">
      <c r="A1043" t="str">
        <f>"761095"</f>
        <v>761095</v>
      </c>
      <c r="B1043" t="s">
        <v>2039</v>
      </c>
      <c r="C1043" t="s">
        <v>2040</v>
      </c>
    </row>
    <row r="1044" spans="1:3" x14ac:dyDescent="0.25">
      <c r="A1044" t="str">
        <f>"761096"</f>
        <v>761096</v>
      </c>
      <c r="B1044" t="s">
        <v>2041</v>
      </c>
      <c r="C1044" t="s">
        <v>2042</v>
      </c>
    </row>
    <row r="1045" spans="1:3" x14ac:dyDescent="0.25">
      <c r="A1045" t="str">
        <f>"761097"</f>
        <v>761097</v>
      </c>
      <c r="B1045" t="s">
        <v>2043</v>
      </c>
      <c r="C1045" t="s">
        <v>2044</v>
      </c>
    </row>
    <row r="1046" spans="1:3" x14ac:dyDescent="0.25">
      <c r="A1046" t="str">
        <f>"761098"</f>
        <v>761098</v>
      </c>
      <c r="B1046" t="s">
        <v>2045</v>
      </c>
      <c r="C1046" t="s">
        <v>2046</v>
      </c>
    </row>
    <row r="1047" spans="1:3" x14ac:dyDescent="0.25">
      <c r="A1047" t="str">
        <f>"761099"</f>
        <v>761099</v>
      </c>
      <c r="B1047" t="s">
        <v>2047</v>
      </c>
      <c r="C1047" t="s">
        <v>2047</v>
      </c>
    </row>
    <row r="1048" spans="1:3" x14ac:dyDescent="0.25">
      <c r="A1048" t="str">
        <f>"761100"</f>
        <v>761100</v>
      </c>
      <c r="B1048" t="s">
        <v>2048</v>
      </c>
      <c r="C1048" t="s">
        <v>2049</v>
      </c>
    </row>
    <row r="1049" spans="1:3" x14ac:dyDescent="0.25">
      <c r="A1049" t="str">
        <f>"761101"</f>
        <v>761101</v>
      </c>
      <c r="B1049" t="s">
        <v>2050</v>
      </c>
      <c r="C1049" t="s">
        <v>2051</v>
      </c>
    </row>
    <row r="1050" spans="1:3" x14ac:dyDescent="0.25">
      <c r="A1050" t="str">
        <f>"761102"</f>
        <v>761102</v>
      </c>
      <c r="B1050" t="s">
        <v>2052</v>
      </c>
      <c r="C1050" t="s">
        <v>2053</v>
      </c>
    </row>
    <row r="1051" spans="1:3" x14ac:dyDescent="0.25">
      <c r="A1051" t="str">
        <f>"761103"</f>
        <v>761103</v>
      </c>
      <c r="B1051" t="s">
        <v>2054</v>
      </c>
      <c r="C1051" t="s">
        <v>2055</v>
      </c>
    </row>
    <row r="1052" spans="1:3" x14ac:dyDescent="0.25">
      <c r="A1052" t="str">
        <f>"761104"</f>
        <v>761104</v>
      </c>
      <c r="B1052" t="s">
        <v>2056</v>
      </c>
      <c r="C1052" t="s">
        <v>2057</v>
      </c>
    </row>
    <row r="1053" spans="1:3" x14ac:dyDescent="0.25">
      <c r="A1053" t="str">
        <f>"761105"</f>
        <v>761105</v>
      </c>
      <c r="B1053" t="s">
        <v>2058</v>
      </c>
      <c r="C1053" t="s">
        <v>2059</v>
      </c>
    </row>
    <row r="1054" spans="1:3" x14ac:dyDescent="0.25">
      <c r="A1054" t="str">
        <f>"761106"</f>
        <v>761106</v>
      </c>
      <c r="B1054" t="s">
        <v>2060</v>
      </c>
      <c r="C1054" t="s">
        <v>2061</v>
      </c>
    </row>
    <row r="1055" spans="1:3" x14ac:dyDescent="0.25">
      <c r="A1055" t="str">
        <f>"761107"</f>
        <v>761107</v>
      </c>
      <c r="B1055" t="s">
        <v>2062</v>
      </c>
      <c r="C1055" t="s">
        <v>2063</v>
      </c>
    </row>
    <row r="1056" spans="1:3" x14ac:dyDescent="0.25">
      <c r="A1056" t="str">
        <f>"761108"</f>
        <v>761108</v>
      </c>
      <c r="B1056" t="s">
        <v>2064</v>
      </c>
      <c r="C1056" t="s">
        <v>2065</v>
      </c>
    </row>
    <row r="1057" spans="1:3" x14ac:dyDescent="0.25">
      <c r="A1057" t="str">
        <f>"761109"</f>
        <v>761109</v>
      </c>
      <c r="B1057" t="s">
        <v>2066</v>
      </c>
      <c r="C1057" t="s">
        <v>2067</v>
      </c>
    </row>
    <row r="1058" spans="1:3" x14ac:dyDescent="0.25">
      <c r="A1058" t="str">
        <f>"761110"</f>
        <v>761110</v>
      </c>
      <c r="B1058" t="s">
        <v>2068</v>
      </c>
      <c r="C1058" t="s">
        <v>2069</v>
      </c>
    </row>
    <row r="1059" spans="1:3" x14ac:dyDescent="0.25">
      <c r="A1059" t="str">
        <f>"761111"</f>
        <v>761111</v>
      </c>
      <c r="B1059" t="s">
        <v>2070</v>
      </c>
      <c r="C1059" t="s">
        <v>2071</v>
      </c>
    </row>
    <row r="1060" spans="1:3" x14ac:dyDescent="0.25">
      <c r="A1060" t="str">
        <f>"761112"</f>
        <v>761112</v>
      </c>
      <c r="B1060" t="s">
        <v>2072</v>
      </c>
      <c r="C1060" t="s">
        <v>2073</v>
      </c>
    </row>
    <row r="1061" spans="1:3" x14ac:dyDescent="0.25">
      <c r="A1061" t="str">
        <f>"762001"</f>
        <v>762001</v>
      </c>
      <c r="B1061" t="s">
        <v>2074</v>
      </c>
      <c r="C1061" t="s">
        <v>2075</v>
      </c>
    </row>
    <row r="1062" spans="1:3" x14ac:dyDescent="0.25">
      <c r="A1062" t="str">
        <f>"762002"</f>
        <v>762002</v>
      </c>
      <c r="B1062" t="s">
        <v>2076</v>
      </c>
      <c r="C1062" t="s">
        <v>2077</v>
      </c>
    </row>
    <row r="1063" spans="1:3" x14ac:dyDescent="0.25">
      <c r="A1063" t="str">
        <f>"762003"</f>
        <v>762003</v>
      </c>
      <c r="B1063" t="s">
        <v>2078</v>
      </c>
      <c r="C1063" t="s">
        <v>2079</v>
      </c>
    </row>
    <row r="1064" spans="1:3" x14ac:dyDescent="0.25">
      <c r="A1064" t="str">
        <f>"762004"</f>
        <v>762004</v>
      </c>
      <c r="B1064" t="s">
        <v>2080</v>
      </c>
      <c r="C1064" t="s">
        <v>2081</v>
      </c>
    </row>
    <row r="1065" spans="1:3" x14ac:dyDescent="0.25">
      <c r="A1065" t="str">
        <f>"762005"</f>
        <v>762005</v>
      </c>
      <c r="B1065" t="s">
        <v>2082</v>
      </c>
      <c r="C1065" t="s">
        <v>2083</v>
      </c>
    </row>
    <row r="1066" spans="1:3" x14ac:dyDescent="0.25">
      <c r="A1066" t="str">
        <f>"762006"</f>
        <v>762006</v>
      </c>
      <c r="B1066" t="s">
        <v>2084</v>
      </c>
      <c r="C1066" t="s">
        <v>2085</v>
      </c>
    </row>
    <row r="1067" spans="1:3" x14ac:dyDescent="0.25">
      <c r="A1067" t="str">
        <f>"762007"</f>
        <v>762007</v>
      </c>
      <c r="B1067" t="s">
        <v>2086</v>
      </c>
      <c r="C1067" t="s">
        <v>2087</v>
      </c>
    </row>
    <row r="1068" spans="1:3" x14ac:dyDescent="0.25">
      <c r="A1068" t="str">
        <f>"762008"</f>
        <v>762008</v>
      </c>
      <c r="B1068" t="s">
        <v>2088</v>
      </c>
      <c r="C1068" t="s">
        <v>2089</v>
      </c>
    </row>
    <row r="1069" spans="1:3" x14ac:dyDescent="0.25">
      <c r="A1069" t="str">
        <f>"762009"</f>
        <v>762009</v>
      </c>
      <c r="B1069" t="s">
        <v>2090</v>
      </c>
      <c r="C1069" t="s">
        <v>2091</v>
      </c>
    </row>
    <row r="1070" spans="1:3" x14ac:dyDescent="0.25">
      <c r="A1070" t="str">
        <f>"762010"</f>
        <v>762010</v>
      </c>
      <c r="B1070" t="s">
        <v>2092</v>
      </c>
      <c r="C1070" t="s">
        <v>1737</v>
      </c>
    </row>
    <row r="1071" spans="1:3" x14ac:dyDescent="0.25">
      <c r="A1071" t="str">
        <f>"762011"</f>
        <v>762011</v>
      </c>
      <c r="B1071" t="s">
        <v>2093</v>
      </c>
      <c r="C1071" t="s">
        <v>2094</v>
      </c>
    </row>
    <row r="1072" spans="1:3" x14ac:dyDescent="0.25">
      <c r="A1072" t="str">
        <f>"762012"</f>
        <v>762012</v>
      </c>
      <c r="B1072" t="s">
        <v>2095</v>
      </c>
      <c r="C1072" t="s">
        <v>2096</v>
      </c>
    </row>
    <row r="1073" spans="1:3" x14ac:dyDescent="0.25">
      <c r="A1073" t="str">
        <f>"762013"</f>
        <v>762013</v>
      </c>
      <c r="B1073" t="s">
        <v>2097</v>
      </c>
      <c r="C1073" t="s">
        <v>2098</v>
      </c>
    </row>
    <row r="1074" spans="1:3" x14ac:dyDescent="0.25">
      <c r="A1074" t="str">
        <f>"762014"</f>
        <v>762014</v>
      </c>
      <c r="B1074" t="s">
        <v>2099</v>
      </c>
      <c r="C1074" t="s">
        <v>2100</v>
      </c>
    </row>
    <row r="1075" spans="1:3" x14ac:dyDescent="0.25">
      <c r="A1075" t="str">
        <f>"762015"</f>
        <v>762015</v>
      </c>
      <c r="B1075" t="s">
        <v>2101</v>
      </c>
      <c r="C1075" t="s">
        <v>2102</v>
      </c>
    </row>
    <row r="1076" spans="1:3" x14ac:dyDescent="0.25">
      <c r="A1076" t="str">
        <f>"762016"</f>
        <v>762016</v>
      </c>
      <c r="B1076" t="s">
        <v>2103</v>
      </c>
      <c r="C1076" t="s">
        <v>2104</v>
      </c>
    </row>
    <row r="1077" spans="1:3" x14ac:dyDescent="0.25">
      <c r="A1077" t="str">
        <f>"762017"</f>
        <v>762017</v>
      </c>
      <c r="B1077" t="s">
        <v>2105</v>
      </c>
      <c r="C1077" t="s">
        <v>2106</v>
      </c>
    </row>
    <row r="1078" spans="1:3" x14ac:dyDescent="0.25">
      <c r="A1078" t="str">
        <f>"762018"</f>
        <v>762018</v>
      </c>
      <c r="B1078" t="s">
        <v>2107</v>
      </c>
      <c r="C1078" t="s">
        <v>2108</v>
      </c>
    </row>
    <row r="1079" spans="1:3" x14ac:dyDescent="0.25">
      <c r="A1079" t="str">
        <f>"762019"</f>
        <v>762019</v>
      </c>
      <c r="B1079" t="s">
        <v>2109</v>
      </c>
      <c r="C1079" t="s">
        <v>2110</v>
      </c>
    </row>
    <row r="1080" spans="1:3" x14ac:dyDescent="0.25">
      <c r="A1080" t="str">
        <f>"762020"</f>
        <v>762020</v>
      </c>
      <c r="B1080" t="s">
        <v>2111</v>
      </c>
      <c r="C1080" t="s">
        <v>2112</v>
      </c>
    </row>
    <row r="1081" spans="1:3" x14ac:dyDescent="0.25">
      <c r="A1081" t="str">
        <f>"762021"</f>
        <v>762021</v>
      </c>
      <c r="B1081" t="s">
        <v>2113</v>
      </c>
      <c r="C1081" t="s">
        <v>2114</v>
      </c>
    </row>
    <row r="1082" spans="1:3" x14ac:dyDescent="0.25">
      <c r="A1082" t="str">
        <f>"762022"</f>
        <v>762022</v>
      </c>
      <c r="B1082" t="s">
        <v>2115</v>
      </c>
      <c r="C1082" t="s">
        <v>2116</v>
      </c>
    </row>
    <row r="1083" spans="1:3" x14ac:dyDescent="0.25">
      <c r="A1083" t="str">
        <f>"762023"</f>
        <v>762023</v>
      </c>
      <c r="B1083" t="s">
        <v>2117</v>
      </c>
      <c r="C1083" t="s">
        <v>1870</v>
      </c>
    </row>
    <row r="1084" spans="1:3" x14ac:dyDescent="0.25">
      <c r="A1084" t="str">
        <f>"762024"</f>
        <v>762024</v>
      </c>
      <c r="B1084" t="s">
        <v>2118</v>
      </c>
      <c r="C1084" t="s">
        <v>2119</v>
      </c>
    </row>
    <row r="1085" spans="1:3" x14ac:dyDescent="0.25">
      <c r="A1085" t="str">
        <f>"762025"</f>
        <v>762025</v>
      </c>
      <c r="B1085" t="s">
        <v>2120</v>
      </c>
      <c r="C1085" t="s">
        <v>2121</v>
      </c>
    </row>
    <row r="1086" spans="1:3" x14ac:dyDescent="0.25">
      <c r="A1086" t="str">
        <f>"762026"</f>
        <v>762026</v>
      </c>
      <c r="B1086" t="s">
        <v>2122</v>
      </c>
      <c r="C1086" t="s">
        <v>2123</v>
      </c>
    </row>
    <row r="1087" spans="1:3" x14ac:dyDescent="0.25">
      <c r="A1087" t="str">
        <f>"762027"</f>
        <v>762027</v>
      </c>
      <c r="B1087" t="s">
        <v>2124</v>
      </c>
      <c r="C1087" t="s">
        <v>2125</v>
      </c>
    </row>
    <row r="1088" spans="1:3" x14ac:dyDescent="0.25">
      <c r="A1088" t="str">
        <f>"762028"</f>
        <v>762028</v>
      </c>
      <c r="B1088" t="s">
        <v>2126</v>
      </c>
      <c r="C1088" t="s">
        <v>2127</v>
      </c>
    </row>
    <row r="1089" spans="1:3" x14ac:dyDescent="0.25">
      <c r="A1089" t="str">
        <f>"762029"</f>
        <v>762029</v>
      </c>
      <c r="B1089" t="s">
        <v>2128</v>
      </c>
      <c r="C1089" t="s">
        <v>2129</v>
      </c>
    </row>
    <row r="1090" spans="1:3" x14ac:dyDescent="0.25">
      <c r="A1090" t="str">
        <f>"762030"</f>
        <v>762030</v>
      </c>
      <c r="B1090" t="s">
        <v>2130</v>
      </c>
      <c r="C1090" t="s">
        <v>2131</v>
      </c>
    </row>
    <row r="1091" spans="1:3" x14ac:dyDescent="0.25">
      <c r="A1091" t="str">
        <f>"762031"</f>
        <v>762031</v>
      </c>
      <c r="B1091" t="s">
        <v>2132</v>
      </c>
      <c r="C1091" t="s">
        <v>2133</v>
      </c>
    </row>
    <row r="1092" spans="1:3" x14ac:dyDescent="0.25">
      <c r="A1092" t="str">
        <f>"762032"</f>
        <v>762032</v>
      </c>
      <c r="B1092" t="s">
        <v>2134</v>
      </c>
      <c r="C1092" t="s">
        <v>2135</v>
      </c>
    </row>
    <row r="1093" spans="1:3" x14ac:dyDescent="0.25">
      <c r="A1093" t="str">
        <f>"762033"</f>
        <v>762033</v>
      </c>
      <c r="B1093" t="s">
        <v>2136</v>
      </c>
      <c r="C1093" t="s">
        <v>2137</v>
      </c>
    </row>
    <row r="1094" spans="1:3" x14ac:dyDescent="0.25">
      <c r="A1094" t="str">
        <f>"762034"</f>
        <v>762034</v>
      </c>
      <c r="B1094" t="s">
        <v>2138</v>
      </c>
      <c r="C1094" t="s">
        <v>2139</v>
      </c>
    </row>
    <row r="1095" spans="1:3" x14ac:dyDescent="0.25">
      <c r="A1095" t="str">
        <f>"762035"</f>
        <v>762035</v>
      </c>
      <c r="B1095" t="s">
        <v>2140</v>
      </c>
      <c r="C1095" t="s">
        <v>2141</v>
      </c>
    </row>
    <row r="1096" spans="1:3" x14ac:dyDescent="0.25">
      <c r="A1096" t="str">
        <f>"762036"</f>
        <v>762036</v>
      </c>
      <c r="B1096" t="s">
        <v>2142</v>
      </c>
      <c r="C1096" t="s">
        <v>2143</v>
      </c>
    </row>
    <row r="1097" spans="1:3" x14ac:dyDescent="0.25">
      <c r="A1097" t="str">
        <f>"762037"</f>
        <v>762037</v>
      </c>
      <c r="B1097" t="s">
        <v>2144</v>
      </c>
      <c r="C1097" t="s">
        <v>2145</v>
      </c>
    </row>
    <row r="1098" spans="1:3" x14ac:dyDescent="0.25">
      <c r="A1098" t="str">
        <f>"762038"</f>
        <v>762038</v>
      </c>
      <c r="B1098" t="s">
        <v>2146</v>
      </c>
      <c r="C1098" t="s">
        <v>2147</v>
      </c>
    </row>
    <row r="1099" spans="1:3" x14ac:dyDescent="0.25">
      <c r="A1099" t="str">
        <f>"762039"</f>
        <v>762039</v>
      </c>
      <c r="B1099" t="s">
        <v>2148</v>
      </c>
      <c r="C1099" t="s">
        <v>2149</v>
      </c>
    </row>
    <row r="1100" spans="1:3" x14ac:dyDescent="0.25">
      <c r="A1100" t="str">
        <f>"762040"</f>
        <v>762040</v>
      </c>
      <c r="B1100" t="s">
        <v>2150</v>
      </c>
      <c r="C1100" t="s">
        <v>2151</v>
      </c>
    </row>
    <row r="1101" spans="1:3" x14ac:dyDescent="0.25">
      <c r="A1101" t="str">
        <f>"762041"</f>
        <v>762041</v>
      </c>
      <c r="B1101" t="s">
        <v>2152</v>
      </c>
      <c r="C1101" t="s">
        <v>2153</v>
      </c>
    </row>
    <row r="1102" spans="1:3" x14ac:dyDescent="0.25">
      <c r="A1102" t="str">
        <f>"762042"</f>
        <v>762042</v>
      </c>
      <c r="B1102" t="s">
        <v>2154</v>
      </c>
      <c r="C1102" t="s">
        <v>2155</v>
      </c>
    </row>
    <row r="1103" spans="1:3" x14ac:dyDescent="0.25">
      <c r="A1103" t="str">
        <f>"762043"</f>
        <v>762043</v>
      </c>
      <c r="B1103" t="s">
        <v>2156</v>
      </c>
      <c r="C1103" t="s">
        <v>2157</v>
      </c>
    </row>
    <row r="1104" spans="1:3" x14ac:dyDescent="0.25">
      <c r="A1104" t="str">
        <f>"762044"</f>
        <v>762044</v>
      </c>
      <c r="B1104" t="s">
        <v>2158</v>
      </c>
      <c r="C1104" t="s">
        <v>2159</v>
      </c>
    </row>
    <row r="1105" spans="1:3" x14ac:dyDescent="0.25">
      <c r="A1105" t="str">
        <f>"762045"</f>
        <v>762045</v>
      </c>
      <c r="B1105" t="s">
        <v>2160</v>
      </c>
      <c r="C1105" t="s">
        <v>2161</v>
      </c>
    </row>
    <row r="1106" spans="1:3" x14ac:dyDescent="0.25">
      <c r="A1106" t="str">
        <f>"762046"</f>
        <v>762046</v>
      </c>
      <c r="B1106" t="s">
        <v>2162</v>
      </c>
      <c r="C1106" t="s">
        <v>2163</v>
      </c>
    </row>
    <row r="1107" spans="1:3" x14ac:dyDescent="0.25">
      <c r="A1107" t="str">
        <f>"762047"</f>
        <v>762047</v>
      </c>
      <c r="B1107" t="s">
        <v>2164</v>
      </c>
      <c r="C1107" t="s">
        <v>2165</v>
      </c>
    </row>
    <row r="1108" spans="1:3" x14ac:dyDescent="0.25">
      <c r="A1108" t="str">
        <f>"762048"</f>
        <v>762048</v>
      </c>
      <c r="B1108" t="s">
        <v>2166</v>
      </c>
      <c r="C1108" t="s">
        <v>2167</v>
      </c>
    </row>
    <row r="1109" spans="1:3" x14ac:dyDescent="0.25">
      <c r="A1109" t="str">
        <f>"762049"</f>
        <v>762049</v>
      </c>
      <c r="B1109" t="s">
        <v>2168</v>
      </c>
      <c r="C1109" t="s">
        <v>2169</v>
      </c>
    </row>
    <row r="1110" spans="1:3" x14ac:dyDescent="0.25">
      <c r="A1110" t="str">
        <f>"762050"</f>
        <v>762050</v>
      </c>
      <c r="B1110" t="s">
        <v>2170</v>
      </c>
      <c r="C1110" t="s">
        <v>2171</v>
      </c>
    </row>
    <row r="1111" spans="1:3" x14ac:dyDescent="0.25">
      <c r="A1111" t="str">
        <f>"762051"</f>
        <v>762051</v>
      </c>
      <c r="B1111" t="s">
        <v>2172</v>
      </c>
      <c r="C1111" t="s">
        <v>2173</v>
      </c>
    </row>
    <row r="1112" spans="1:3" x14ac:dyDescent="0.25">
      <c r="A1112" t="str">
        <f>"762052"</f>
        <v>762052</v>
      </c>
      <c r="B1112" t="s">
        <v>2174</v>
      </c>
      <c r="C1112" t="s">
        <v>2175</v>
      </c>
    </row>
    <row r="1113" spans="1:3" x14ac:dyDescent="0.25">
      <c r="A1113" t="str">
        <f>"762053"</f>
        <v>762053</v>
      </c>
      <c r="B1113" t="s">
        <v>2176</v>
      </c>
      <c r="C1113" t="s">
        <v>2177</v>
      </c>
    </row>
    <row r="1114" spans="1:3" x14ac:dyDescent="0.25">
      <c r="A1114" t="str">
        <f>"762054"</f>
        <v>762054</v>
      </c>
      <c r="B1114" t="s">
        <v>2178</v>
      </c>
      <c r="C1114" t="s">
        <v>2179</v>
      </c>
    </row>
    <row r="1115" spans="1:3" x14ac:dyDescent="0.25">
      <c r="A1115" t="str">
        <f>"762055"</f>
        <v>762055</v>
      </c>
      <c r="B1115" t="s">
        <v>2180</v>
      </c>
      <c r="C1115" t="s">
        <v>2181</v>
      </c>
    </row>
    <row r="1116" spans="1:3" x14ac:dyDescent="0.25">
      <c r="A1116" t="str">
        <f>"762056"</f>
        <v>762056</v>
      </c>
      <c r="B1116" t="s">
        <v>2182</v>
      </c>
      <c r="C1116" t="s">
        <v>2182</v>
      </c>
    </row>
    <row r="1117" spans="1:3" x14ac:dyDescent="0.25">
      <c r="A1117" t="str">
        <f>"762057"</f>
        <v>762057</v>
      </c>
      <c r="B1117" t="s">
        <v>2183</v>
      </c>
      <c r="C1117" t="s">
        <v>2184</v>
      </c>
    </row>
    <row r="1118" spans="1:3" x14ac:dyDescent="0.25">
      <c r="A1118" t="str">
        <f>"762058"</f>
        <v>762058</v>
      </c>
      <c r="B1118" t="s">
        <v>2185</v>
      </c>
      <c r="C1118" t="s">
        <v>2186</v>
      </c>
    </row>
    <row r="1119" spans="1:3" x14ac:dyDescent="0.25">
      <c r="A1119" t="str">
        <f>"762059"</f>
        <v>762059</v>
      </c>
      <c r="B1119" t="s">
        <v>2187</v>
      </c>
      <c r="C1119" t="s">
        <v>2188</v>
      </c>
    </row>
    <row r="1120" spans="1:3" x14ac:dyDescent="0.25">
      <c r="A1120" t="str">
        <f>"762060"</f>
        <v>762060</v>
      </c>
      <c r="B1120" t="s">
        <v>2189</v>
      </c>
      <c r="C1120" t="s">
        <v>2190</v>
      </c>
    </row>
    <row r="1121" spans="1:3" x14ac:dyDescent="0.25">
      <c r="A1121" t="str">
        <f>"762061"</f>
        <v>762061</v>
      </c>
      <c r="B1121" t="s">
        <v>2191</v>
      </c>
      <c r="C1121" t="s">
        <v>2192</v>
      </c>
    </row>
    <row r="1122" spans="1:3" x14ac:dyDescent="0.25">
      <c r="A1122" t="str">
        <f>"762062"</f>
        <v>762062</v>
      </c>
      <c r="B1122" t="s">
        <v>2193</v>
      </c>
      <c r="C1122" t="s">
        <v>2194</v>
      </c>
    </row>
    <row r="1123" spans="1:3" x14ac:dyDescent="0.25">
      <c r="A1123" t="str">
        <f>"762063"</f>
        <v>762063</v>
      </c>
      <c r="B1123" t="s">
        <v>2195</v>
      </c>
      <c r="C1123" t="s">
        <v>2196</v>
      </c>
    </row>
    <row r="1124" spans="1:3" x14ac:dyDescent="0.25">
      <c r="A1124" t="str">
        <f>"762064"</f>
        <v>762064</v>
      </c>
      <c r="B1124" t="s">
        <v>2197</v>
      </c>
      <c r="C1124" t="s">
        <v>2198</v>
      </c>
    </row>
    <row r="1125" spans="1:3" x14ac:dyDescent="0.25">
      <c r="A1125" t="str">
        <f>"762065"</f>
        <v>762065</v>
      </c>
      <c r="B1125" t="s">
        <v>2199</v>
      </c>
      <c r="C1125" t="s">
        <v>2200</v>
      </c>
    </row>
    <row r="1126" spans="1:3" x14ac:dyDescent="0.25">
      <c r="A1126" t="str">
        <f>"762066"</f>
        <v>762066</v>
      </c>
      <c r="B1126" t="s">
        <v>2201</v>
      </c>
      <c r="C1126" t="s">
        <v>2202</v>
      </c>
    </row>
    <row r="1127" spans="1:3" x14ac:dyDescent="0.25">
      <c r="A1127" t="str">
        <f>"762067"</f>
        <v>762067</v>
      </c>
      <c r="B1127" t="s">
        <v>2203</v>
      </c>
      <c r="C1127" t="s">
        <v>2204</v>
      </c>
    </row>
    <row r="1128" spans="1:3" x14ac:dyDescent="0.25">
      <c r="A1128" t="str">
        <f>"762068"</f>
        <v>762068</v>
      </c>
      <c r="B1128" t="s">
        <v>2205</v>
      </c>
      <c r="C1128" t="s">
        <v>2206</v>
      </c>
    </row>
    <row r="1129" spans="1:3" x14ac:dyDescent="0.25">
      <c r="A1129" t="str">
        <f>"762069"</f>
        <v>762069</v>
      </c>
      <c r="B1129" t="s">
        <v>2207</v>
      </c>
      <c r="C1129" t="s">
        <v>2208</v>
      </c>
    </row>
    <row r="1130" spans="1:3" x14ac:dyDescent="0.25">
      <c r="A1130" t="str">
        <f>"762070"</f>
        <v>762070</v>
      </c>
      <c r="B1130" t="s">
        <v>2209</v>
      </c>
      <c r="C1130" t="s">
        <v>2210</v>
      </c>
    </row>
    <row r="1131" spans="1:3" x14ac:dyDescent="0.25">
      <c r="A1131" t="str">
        <f>"762071"</f>
        <v>762071</v>
      </c>
      <c r="B1131" t="s">
        <v>2211</v>
      </c>
      <c r="C1131" t="s">
        <v>2212</v>
      </c>
    </row>
    <row r="1132" spans="1:3" x14ac:dyDescent="0.25">
      <c r="A1132" t="str">
        <f>"762072"</f>
        <v>762072</v>
      </c>
      <c r="B1132" t="s">
        <v>2213</v>
      </c>
      <c r="C1132" t="s">
        <v>2214</v>
      </c>
    </row>
    <row r="1133" spans="1:3" x14ac:dyDescent="0.25">
      <c r="A1133" t="str">
        <f>"762073"</f>
        <v>762073</v>
      </c>
      <c r="B1133" t="s">
        <v>2215</v>
      </c>
      <c r="C1133" t="s">
        <v>2216</v>
      </c>
    </row>
    <row r="1134" spans="1:3" x14ac:dyDescent="0.25">
      <c r="A1134" t="str">
        <f>"762074"</f>
        <v>762074</v>
      </c>
      <c r="B1134" t="s">
        <v>2217</v>
      </c>
      <c r="C1134" t="s">
        <v>2218</v>
      </c>
    </row>
    <row r="1135" spans="1:3" x14ac:dyDescent="0.25">
      <c r="A1135" t="str">
        <f>"762075"</f>
        <v>762075</v>
      </c>
      <c r="B1135" t="s">
        <v>2219</v>
      </c>
      <c r="C1135" t="s">
        <v>2220</v>
      </c>
    </row>
    <row r="1136" spans="1:3" x14ac:dyDescent="0.25">
      <c r="A1136" t="str">
        <f>"762076"</f>
        <v>762076</v>
      </c>
      <c r="B1136" t="s">
        <v>2221</v>
      </c>
      <c r="C1136" t="s">
        <v>2222</v>
      </c>
    </row>
    <row r="1137" spans="1:3" x14ac:dyDescent="0.25">
      <c r="A1137" t="str">
        <f>"762077"</f>
        <v>762077</v>
      </c>
      <c r="B1137" t="s">
        <v>2223</v>
      </c>
      <c r="C1137" t="s">
        <v>2224</v>
      </c>
    </row>
    <row r="1138" spans="1:3" x14ac:dyDescent="0.25">
      <c r="A1138" t="str">
        <f>"762078"</f>
        <v>762078</v>
      </c>
      <c r="B1138" t="s">
        <v>2225</v>
      </c>
      <c r="C1138" t="s">
        <v>2226</v>
      </c>
    </row>
    <row r="1139" spans="1:3" x14ac:dyDescent="0.25">
      <c r="A1139" t="str">
        <f>"762079"</f>
        <v>762079</v>
      </c>
      <c r="B1139" t="s">
        <v>2227</v>
      </c>
      <c r="C1139" t="s">
        <v>2228</v>
      </c>
    </row>
    <row r="1140" spans="1:3" x14ac:dyDescent="0.25">
      <c r="A1140" t="str">
        <f>"762080"</f>
        <v>762080</v>
      </c>
      <c r="B1140" t="s">
        <v>2229</v>
      </c>
      <c r="C1140" t="s">
        <v>2230</v>
      </c>
    </row>
    <row r="1141" spans="1:3" x14ac:dyDescent="0.25">
      <c r="A1141" t="str">
        <f>"762081"</f>
        <v>762081</v>
      </c>
      <c r="B1141" t="s">
        <v>2231</v>
      </c>
      <c r="C1141" t="s">
        <v>2232</v>
      </c>
    </row>
    <row r="1142" spans="1:3" x14ac:dyDescent="0.25">
      <c r="A1142" t="str">
        <f>"762082"</f>
        <v>762082</v>
      </c>
      <c r="B1142" t="s">
        <v>2233</v>
      </c>
      <c r="C1142" t="s">
        <v>2234</v>
      </c>
    </row>
    <row r="1143" spans="1:3" x14ac:dyDescent="0.25">
      <c r="A1143" t="str">
        <f>"762083"</f>
        <v>762083</v>
      </c>
      <c r="B1143" t="s">
        <v>2235</v>
      </c>
      <c r="C1143" t="s">
        <v>2236</v>
      </c>
    </row>
    <row r="1144" spans="1:3" x14ac:dyDescent="0.25">
      <c r="A1144" t="str">
        <f>"762084"</f>
        <v>762084</v>
      </c>
      <c r="B1144" t="s">
        <v>2237</v>
      </c>
      <c r="C1144" t="s">
        <v>2238</v>
      </c>
    </row>
    <row r="1145" spans="1:3" x14ac:dyDescent="0.25">
      <c r="A1145" t="str">
        <f>"762085"</f>
        <v>762085</v>
      </c>
      <c r="B1145" t="s">
        <v>2239</v>
      </c>
      <c r="C1145" t="s">
        <v>2240</v>
      </c>
    </row>
    <row r="1146" spans="1:3" x14ac:dyDescent="0.25">
      <c r="A1146" t="str">
        <f>"762086"</f>
        <v>762086</v>
      </c>
      <c r="B1146" t="s">
        <v>2241</v>
      </c>
      <c r="C1146" t="s">
        <v>2242</v>
      </c>
    </row>
    <row r="1147" spans="1:3" x14ac:dyDescent="0.25">
      <c r="A1147" t="str">
        <f>"762087"</f>
        <v>762087</v>
      </c>
      <c r="B1147" t="s">
        <v>2243</v>
      </c>
      <c r="C1147" t="s">
        <v>2244</v>
      </c>
    </row>
    <row r="1148" spans="1:3" x14ac:dyDescent="0.25">
      <c r="A1148" t="str">
        <f>"762088"</f>
        <v>762088</v>
      </c>
      <c r="B1148" t="s">
        <v>2245</v>
      </c>
      <c r="C1148" t="s">
        <v>2246</v>
      </c>
    </row>
    <row r="1149" spans="1:3" x14ac:dyDescent="0.25">
      <c r="A1149" t="str">
        <f>"762089"</f>
        <v>762089</v>
      </c>
      <c r="B1149" t="s">
        <v>2247</v>
      </c>
      <c r="C1149" t="s">
        <v>2248</v>
      </c>
    </row>
    <row r="1150" spans="1:3" x14ac:dyDescent="0.25">
      <c r="A1150" t="str">
        <f>"762090"</f>
        <v>762090</v>
      </c>
      <c r="B1150" t="s">
        <v>2249</v>
      </c>
      <c r="C1150" t="s">
        <v>2250</v>
      </c>
    </row>
    <row r="1151" spans="1:3" x14ac:dyDescent="0.25">
      <c r="A1151" t="str">
        <f>"762091"</f>
        <v>762091</v>
      </c>
      <c r="B1151" t="s">
        <v>2251</v>
      </c>
      <c r="C1151" t="s">
        <v>2252</v>
      </c>
    </row>
    <row r="1152" spans="1:3" x14ac:dyDescent="0.25">
      <c r="A1152" t="str">
        <f>"762092"</f>
        <v>762092</v>
      </c>
      <c r="B1152" t="s">
        <v>2253</v>
      </c>
      <c r="C1152" t="s">
        <v>2254</v>
      </c>
    </row>
    <row r="1153" spans="1:3" x14ac:dyDescent="0.25">
      <c r="A1153" t="str">
        <f>"762093"</f>
        <v>762093</v>
      </c>
      <c r="B1153" t="s">
        <v>2255</v>
      </c>
      <c r="C1153" t="s">
        <v>2256</v>
      </c>
    </row>
    <row r="1154" spans="1:3" x14ac:dyDescent="0.25">
      <c r="A1154" t="str">
        <f>"762094"</f>
        <v>762094</v>
      </c>
      <c r="B1154" t="s">
        <v>2257</v>
      </c>
      <c r="C1154" t="s">
        <v>2258</v>
      </c>
    </row>
    <row r="1155" spans="1:3" x14ac:dyDescent="0.25">
      <c r="A1155" t="str">
        <f>"762095"</f>
        <v>762095</v>
      </c>
      <c r="B1155" t="s">
        <v>2259</v>
      </c>
      <c r="C1155" t="s">
        <v>2260</v>
      </c>
    </row>
    <row r="1156" spans="1:3" x14ac:dyDescent="0.25">
      <c r="A1156" t="str">
        <f>"762096"</f>
        <v>762096</v>
      </c>
      <c r="B1156" t="s">
        <v>2261</v>
      </c>
      <c r="C1156" t="s">
        <v>2262</v>
      </c>
    </row>
    <row r="1157" spans="1:3" x14ac:dyDescent="0.25">
      <c r="A1157" t="str">
        <f>"762097"</f>
        <v>762097</v>
      </c>
      <c r="B1157" t="s">
        <v>2263</v>
      </c>
      <c r="C1157" t="s">
        <v>2264</v>
      </c>
    </row>
    <row r="1158" spans="1:3" x14ac:dyDescent="0.25">
      <c r="A1158" t="str">
        <f>"762098"</f>
        <v>762098</v>
      </c>
      <c r="B1158" t="s">
        <v>2265</v>
      </c>
      <c r="C1158" t="s">
        <v>2266</v>
      </c>
    </row>
    <row r="1159" spans="1:3" x14ac:dyDescent="0.25">
      <c r="A1159" t="str">
        <f>"762099"</f>
        <v>762099</v>
      </c>
      <c r="B1159" t="s">
        <v>2267</v>
      </c>
      <c r="C1159" t="s">
        <v>2268</v>
      </c>
    </row>
    <row r="1160" spans="1:3" x14ac:dyDescent="0.25">
      <c r="A1160" t="str">
        <f>"762100"</f>
        <v>762100</v>
      </c>
      <c r="B1160" t="s">
        <v>2269</v>
      </c>
      <c r="C1160" t="s">
        <v>2270</v>
      </c>
    </row>
    <row r="1161" spans="1:3" x14ac:dyDescent="0.25">
      <c r="A1161" t="str">
        <f>"762101"</f>
        <v>762101</v>
      </c>
      <c r="B1161" t="s">
        <v>2271</v>
      </c>
      <c r="C1161" t="s">
        <v>2272</v>
      </c>
    </row>
    <row r="1162" spans="1:3" x14ac:dyDescent="0.25">
      <c r="A1162" t="str">
        <f>"762102"</f>
        <v>762102</v>
      </c>
      <c r="B1162" t="s">
        <v>2273</v>
      </c>
      <c r="C1162" t="s">
        <v>2274</v>
      </c>
    </row>
    <row r="1163" spans="1:3" x14ac:dyDescent="0.25">
      <c r="A1163" t="str">
        <f>"767001"</f>
        <v>767001</v>
      </c>
      <c r="B1163" t="s">
        <v>2275</v>
      </c>
      <c r="C1163" t="s">
        <v>2276</v>
      </c>
    </row>
    <row r="1164" spans="1:3" x14ac:dyDescent="0.25">
      <c r="A1164" t="str">
        <f>"767002"</f>
        <v>767002</v>
      </c>
      <c r="B1164" t="s">
        <v>2277</v>
      </c>
      <c r="C1164" t="s">
        <v>2278</v>
      </c>
    </row>
    <row r="1165" spans="1:3" x14ac:dyDescent="0.25">
      <c r="A1165" t="str">
        <f>"81702 "</f>
        <v xml:space="preserve">81702 </v>
      </c>
      <c r="B1165" t="s">
        <v>2279</v>
      </c>
      <c r="C1165" t="s">
        <v>942</v>
      </c>
    </row>
    <row r="1166" spans="1:3" x14ac:dyDescent="0.25">
      <c r="A1166" t="str">
        <f>"767003"</f>
        <v>767003</v>
      </c>
      <c r="B1166" t="s">
        <v>2280</v>
      </c>
      <c r="C1166" t="s">
        <v>2281</v>
      </c>
    </row>
    <row r="1167" spans="1:3" x14ac:dyDescent="0.25">
      <c r="A1167" t="str">
        <f>"767004"</f>
        <v>767004</v>
      </c>
      <c r="B1167" t="s">
        <v>2282</v>
      </c>
      <c r="C1167" t="s">
        <v>2283</v>
      </c>
    </row>
    <row r="1168" spans="1:3" x14ac:dyDescent="0.25">
      <c r="A1168" t="str">
        <f>"767005"</f>
        <v>767005</v>
      </c>
      <c r="B1168" t="s">
        <v>2284</v>
      </c>
      <c r="C1168" t="s">
        <v>2285</v>
      </c>
    </row>
    <row r="1169" spans="1:3" x14ac:dyDescent="0.25">
      <c r="A1169" t="str">
        <f>"767006"</f>
        <v>767006</v>
      </c>
      <c r="B1169" t="s">
        <v>2286</v>
      </c>
      <c r="C1169" t="s">
        <v>2287</v>
      </c>
    </row>
    <row r="1170" spans="1:3" x14ac:dyDescent="0.25">
      <c r="A1170" t="str">
        <f>"767007"</f>
        <v>767007</v>
      </c>
      <c r="B1170" t="s">
        <v>2288</v>
      </c>
      <c r="C1170" t="s">
        <v>2289</v>
      </c>
    </row>
    <row r="1171" spans="1:3" x14ac:dyDescent="0.25">
      <c r="A1171" t="str">
        <f>"767008"</f>
        <v>767008</v>
      </c>
      <c r="B1171" t="s">
        <v>2290</v>
      </c>
      <c r="C1171" t="s">
        <v>2291</v>
      </c>
    </row>
    <row r="1172" spans="1:3" x14ac:dyDescent="0.25">
      <c r="A1172" t="str">
        <f>"81392 "</f>
        <v xml:space="preserve">81392 </v>
      </c>
      <c r="B1172" t="s">
        <v>2292</v>
      </c>
      <c r="C1172" t="s">
        <v>2293</v>
      </c>
    </row>
    <row r="1173" spans="1:3" x14ac:dyDescent="0.25">
      <c r="A1173" t="str">
        <f>"767009"</f>
        <v>767009</v>
      </c>
      <c r="B1173" t="s">
        <v>2294</v>
      </c>
      <c r="C1173" t="s">
        <v>2295</v>
      </c>
    </row>
    <row r="1174" spans="1:3" x14ac:dyDescent="0.25">
      <c r="A1174" t="str">
        <f>"767010"</f>
        <v>767010</v>
      </c>
      <c r="B1174" t="s">
        <v>2296</v>
      </c>
      <c r="C1174" t="s">
        <v>2297</v>
      </c>
    </row>
    <row r="1175" spans="1:3" x14ac:dyDescent="0.25">
      <c r="A1175" t="str">
        <f>"767011"</f>
        <v>767011</v>
      </c>
      <c r="B1175" t="s">
        <v>2298</v>
      </c>
      <c r="C1175" t="s">
        <v>2299</v>
      </c>
    </row>
    <row r="1176" spans="1:3" x14ac:dyDescent="0.25">
      <c r="A1176" t="str">
        <f>"767012"</f>
        <v>767012</v>
      </c>
      <c r="B1176" t="s">
        <v>2300</v>
      </c>
      <c r="C1176" t="s">
        <v>2301</v>
      </c>
    </row>
    <row r="1177" spans="1:3" x14ac:dyDescent="0.25">
      <c r="A1177" t="str">
        <f>"767013"</f>
        <v>767013</v>
      </c>
      <c r="B1177" t="s">
        <v>2302</v>
      </c>
      <c r="C1177" t="s">
        <v>2303</v>
      </c>
    </row>
    <row r="1178" spans="1:3" x14ac:dyDescent="0.25">
      <c r="A1178" t="str">
        <f>"767014"</f>
        <v>767014</v>
      </c>
      <c r="B1178" t="s">
        <v>2304</v>
      </c>
      <c r="C1178" t="s">
        <v>2305</v>
      </c>
    </row>
    <row r="1179" spans="1:3" x14ac:dyDescent="0.25">
      <c r="A1179" t="str">
        <f>"767015"</f>
        <v>767015</v>
      </c>
      <c r="B1179" t="s">
        <v>2306</v>
      </c>
      <c r="C1179" t="s">
        <v>2307</v>
      </c>
    </row>
    <row r="1180" spans="1:3" x14ac:dyDescent="0.25">
      <c r="A1180" t="str">
        <f>"767016"</f>
        <v>767016</v>
      </c>
      <c r="B1180" t="s">
        <v>2308</v>
      </c>
      <c r="C1180" t="s">
        <v>2309</v>
      </c>
    </row>
    <row r="1181" spans="1:3" x14ac:dyDescent="0.25">
      <c r="A1181" t="str">
        <f>"767017"</f>
        <v>767017</v>
      </c>
      <c r="B1181" t="s">
        <v>2310</v>
      </c>
      <c r="C1181" t="s">
        <v>2311</v>
      </c>
    </row>
    <row r="1182" spans="1:3" x14ac:dyDescent="0.25">
      <c r="A1182" t="str">
        <f>"767018"</f>
        <v>767018</v>
      </c>
      <c r="B1182" t="s">
        <v>2312</v>
      </c>
      <c r="C1182" t="s">
        <v>2313</v>
      </c>
    </row>
    <row r="1183" spans="1:3" x14ac:dyDescent="0.25">
      <c r="A1183" t="str">
        <f>"767019"</f>
        <v>767019</v>
      </c>
      <c r="B1183" t="s">
        <v>2314</v>
      </c>
      <c r="C1183" t="s">
        <v>2315</v>
      </c>
    </row>
    <row r="1184" spans="1:3" x14ac:dyDescent="0.25">
      <c r="A1184" t="str">
        <f>"767020"</f>
        <v>767020</v>
      </c>
      <c r="B1184" t="s">
        <v>2316</v>
      </c>
      <c r="C1184" t="s">
        <v>2317</v>
      </c>
    </row>
    <row r="1185" spans="1:3" x14ac:dyDescent="0.25">
      <c r="A1185" t="str">
        <f>"767021"</f>
        <v>767021</v>
      </c>
      <c r="B1185" t="s">
        <v>2318</v>
      </c>
      <c r="C1185" t="s">
        <v>2319</v>
      </c>
    </row>
    <row r="1186" spans="1:3" x14ac:dyDescent="0.25">
      <c r="A1186" t="str">
        <f>"767022"</f>
        <v>767022</v>
      </c>
      <c r="B1186" t="s">
        <v>2320</v>
      </c>
      <c r="C1186" t="s">
        <v>2321</v>
      </c>
    </row>
    <row r="1187" spans="1:3" x14ac:dyDescent="0.25">
      <c r="A1187" t="str">
        <f>"767023"</f>
        <v>767023</v>
      </c>
      <c r="B1187" t="s">
        <v>2322</v>
      </c>
      <c r="C1187" t="s">
        <v>2323</v>
      </c>
    </row>
    <row r="1188" spans="1:3" x14ac:dyDescent="0.25">
      <c r="A1188" t="str">
        <f>"767024"</f>
        <v>767024</v>
      </c>
      <c r="B1188" t="s">
        <v>2324</v>
      </c>
      <c r="C1188" t="s">
        <v>2325</v>
      </c>
    </row>
    <row r="1189" spans="1:3" x14ac:dyDescent="0.25">
      <c r="A1189" t="str">
        <f>"81413 "</f>
        <v xml:space="preserve">81413 </v>
      </c>
      <c r="B1189" t="s">
        <v>2326</v>
      </c>
      <c r="C1189" t="s">
        <v>2327</v>
      </c>
    </row>
    <row r="1190" spans="1:3" x14ac:dyDescent="0.25">
      <c r="A1190" t="str">
        <f>"88011 "</f>
        <v xml:space="preserve">88011 </v>
      </c>
      <c r="B1190" t="s">
        <v>2328</v>
      </c>
      <c r="C1190" t="s">
        <v>2329</v>
      </c>
    </row>
    <row r="1191" spans="1:3" x14ac:dyDescent="0.25">
      <c r="A1191" t="str">
        <f>"88031 "</f>
        <v xml:space="preserve">88031 </v>
      </c>
      <c r="B1191" t="s">
        <v>2330</v>
      </c>
      <c r="C1191" t="s">
        <v>2331</v>
      </c>
    </row>
    <row r="1192" spans="1:3" x14ac:dyDescent="0.25">
      <c r="A1192" t="str">
        <f>"88035 "</f>
        <v xml:space="preserve">88035 </v>
      </c>
      <c r="B1192" t="s">
        <v>2332</v>
      </c>
      <c r="C1192" t="s">
        <v>2333</v>
      </c>
    </row>
    <row r="1193" spans="1:3" x14ac:dyDescent="0.25">
      <c r="A1193" t="str">
        <f>"8802T2"</f>
        <v>8802T2</v>
      </c>
      <c r="B1193" t="s">
        <v>2334</v>
      </c>
      <c r="C1193" t="s">
        <v>2335</v>
      </c>
    </row>
    <row r="1194" spans="1:3" x14ac:dyDescent="0.25">
      <c r="A1194" t="str">
        <f>"88025 "</f>
        <v xml:space="preserve">88025 </v>
      </c>
      <c r="B1194" t="s">
        <v>2336</v>
      </c>
      <c r="C1194" t="s">
        <v>2337</v>
      </c>
    </row>
    <row r="1195" spans="1:3" x14ac:dyDescent="0.25">
      <c r="A1195" t="str">
        <f>"88026 "</f>
        <v xml:space="preserve">88026 </v>
      </c>
      <c r="B1195" t="s">
        <v>2338</v>
      </c>
      <c r="C1195" t="s">
        <v>2339</v>
      </c>
    </row>
    <row r="1196" spans="1:3" x14ac:dyDescent="0.25">
      <c r="A1196" t="str">
        <f>"8802T1"</f>
        <v>8802T1</v>
      </c>
      <c r="B1196" t="s">
        <v>2340</v>
      </c>
      <c r="C1196" t="s">
        <v>2341</v>
      </c>
    </row>
    <row r="1197" spans="1:3" x14ac:dyDescent="0.25">
      <c r="A1197" t="str">
        <f>"8802M1"</f>
        <v>8802M1</v>
      </c>
      <c r="B1197" t="s">
        <v>2342</v>
      </c>
      <c r="C1197" t="s">
        <v>2343</v>
      </c>
    </row>
    <row r="1198" spans="1:3" x14ac:dyDescent="0.25">
      <c r="A1198" t="str">
        <f>"89073 "</f>
        <v xml:space="preserve">89073 </v>
      </c>
      <c r="B1198" t="s">
        <v>2344</v>
      </c>
      <c r="C1198" t="s">
        <v>2345</v>
      </c>
    </row>
    <row r="1199" spans="1:3" x14ac:dyDescent="0.25">
      <c r="A1199" t="str">
        <f>"81173 "</f>
        <v xml:space="preserve">81173 </v>
      </c>
      <c r="B1199" t="s">
        <v>2346</v>
      </c>
      <c r="C1199" t="s">
        <v>2347</v>
      </c>
    </row>
    <row r="1200" spans="1:3" x14ac:dyDescent="0.25">
      <c r="A1200" t="str">
        <f>"81174 "</f>
        <v xml:space="preserve">81174 </v>
      </c>
      <c r="B1200" t="s">
        <v>2348</v>
      </c>
      <c r="C1200" t="s">
        <v>2349</v>
      </c>
    </row>
    <row r="1201" spans="1:3" x14ac:dyDescent="0.25">
      <c r="A1201" t="str">
        <f>"81691 "</f>
        <v xml:space="preserve">81691 </v>
      </c>
      <c r="B1201" t="s">
        <v>2350</v>
      </c>
      <c r="C1201" t="s">
        <v>2351</v>
      </c>
    </row>
    <row r="1202" spans="1:3" x14ac:dyDescent="0.25">
      <c r="A1202" t="str">
        <f>"81692 "</f>
        <v xml:space="preserve">81692 </v>
      </c>
      <c r="B1202" t="s">
        <v>2352</v>
      </c>
      <c r="C1202" t="s">
        <v>2353</v>
      </c>
    </row>
    <row r="1203" spans="1:3" x14ac:dyDescent="0.25">
      <c r="A1203" t="str">
        <f>"81701 "</f>
        <v xml:space="preserve">81701 </v>
      </c>
      <c r="B1203" t="s">
        <v>2354</v>
      </c>
      <c r="C1203" t="s">
        <v>940</v>
      </c>
    </row>
    <row r="1204" spans="1:3" x14ac:dyDescent="0.25">
      <c r="A1204" t="str">
        <f>"88027R"</f>
        <v>88027R</v>
      </c>
      <c r="B1204" t="s">
        <v>2355</v>
      </c>
      <c r="C1204" t="s">
        <v>2356</v>
      </c>
    </row>
    <row r="1205" spans="1:3" x14ac:dyDescent="0.25">
      <c r="A1205" t="str">
        <f>"88021 "</f>
        <v xml:space="preserve">88021 </v>
      </c>
      <c r="B1205" t="s">
        <v>2357</v>
      </c>
      <c r="C1205" t="s">
        <v>2358</v>
      </c>
    </row>
    <row r="1206" spans="1:3" x14ac:dyDescent="0.25">
      <c r="A1206" t="str">
        <f>"88027 "</f>
        <v xml:space="preserve">88027 </v>
      </c>
      <c r="B1206" t="s">
        <v>2359</v>
      </c>
      <c r="C1206" t="s">
        <v>2360</v>
      </c>
    </row>
    <row r="1207" spans="1:3" x14ac:dyDescent="0.25">
      <c r="A1207" t="str">
        <f>"89431 "</f>
        <v xml:space="preserve">89431 </v>
      </c>
      <c r="B1207" t="s">
        <v>2361</v>
      </c>
      <c r="C1207" t="s">
        <v>2362</v>
      </c>
    </row>
    <row r="1208" spans="1:3" x14ac:dyDescent="0.25">
      <c r="A1208" t="str">
        <f>"81544 "</f>
        <v xml:space="preserve">81544 </v>
      </c>
      <c r="B1208" t="s">
        <v>2363</v>
      </c>
      <c r="C1208" t="s">
        <v>2364</v>
      </c>
    </row>
    <row r="1209" spans="1:3" x14ac:dyDescent="0.25">
      <c r="A1209" t="str">
        <f>"763027"</f>
        <v>763027</v>
      </c>
      <c r="B1209" t="s">
        <v>2365</v>
      </c>
      <c r="C1209" t="s">
        <v>2366</v>
      </c>
    </row>
    <row r="1210" spans="1:3" x14ac:dyDescent="0.25">
      <c r="A1210" t="str">
        <f>"765001"</f>
        <v>765001</v>
      </c>
      <c r="B1210" t="s">
        <v>2367</v>
      </c>
      <c r="C1210" t="s">
        <v>2368</v>
      </c>
    </row>
    <row r="1211" spans="1:3" x14ac:dyDescent="0.25">
      <c r="A1211" t="str">
        <f>"762105"</f>
        <v>762105</v>
      </c>
      <c r="B1211" t="s">
        <v>2369</v>
      </c>
      <c r="C1211" t="s">
        <v>2370</v>
      </c>
    </row>
    <row r="1212" spans="1:3" x14ac:dyDescent="0.25">
      <c r="A1212" t="str">
        <f>"762106"</f>
        <v>762106</v>
      </c>
      <c r="B1212" t="s">
        <v>2371</v>
      </c>
      <c r="C1212" t="s">
        <v>2372</v>
      </c>
    </row>
    <row r="1213" spans="1:3" x14ac:dyDescent="0.25">
      <c r="A1213" t="str">
        <f>"763030"</f>
        <v>763030</v>
      </c>
      <c r="B1213" t="s">
        <v>2373</v>
      </c>
      <c r="C1213" t="s">
        <v>2374</v>
      </c>
    </row>
    <row r="1214" spans="1:3" x14ac:dyDescent="0.25">
      <c r="A1214" t="str">
        <f>"764035"</f>
        <v>764035</v>
      </c>
      <c r="B1214" t="s">
        <v>2375</v>
      </c>
      <c r="C1214" t="s">
        <v>2376</v>
      </c>
    </row>
    <row r="1215" spans="1:3" x14ac:dyDescent="0.25">
      <c r="A1215" t="str">
        <f>"761114"</f>
        <v>761114</v>
      </c>
      <c r="B1215" t="s">
        <v>2377</v>
      </c>
      <c r="C1215" t="s">
        <v>2377</v>
      </c>
    </row>
    <row r="1216" spans="1:3" x14ac:dyDescent="0.25">
      <c r="A1216" t="str">
        <f>"8802T3"</f>
        <v>8802T3</v>
      </c>
      <c r="B1216" t="s">
        <v>2378</v>
      </c>
      <c r="C1216" t="s">
        <v>2379</v>
      </c>
    </row>
    <row r="1217" spans="1:3" x14ac:dyDescent="0.25">
      <c r="A1217" t="str">
        <f>"762103"</f>
        <v>762103</v>
      </c>
      <c r="B1217" t="s">
        <v>2380</v>
      </c>
      <c r="C1217" t="s">
        <v>2381</v>
      </c>
    </row>
    <row r="1218" spans="1:3" x14ac:dyDescent="0.25">
      <c r="A1218" t="str">
        <f>"762104"</f>
        <v>762104</v>
      </c>
      <c r="B1218" t="s">
        <v>2382</v>
      </c>
      <c r="C1218" t="s">
        <v>2383</v>
      </c>
    </row>
    <row r="1219" spans="1:3" x14ac:dyDescent="0.25">
      <c r="A1219" t="str">
        <f>"762107"</f>
        <v>762107</v>
      </c>
      <c r="B1219" t="s">
        <v>2384</v>
      </c>
      <c r="C1219" t="s">
        <v>2385</v>
      </c>
    </row>
    <row r="1220" spans="1:3" x14ac:dyDescent="0.25">
      <c r="A1220" t="str">
        <f>"762108"</f>
        <v>762108</v>
      </c>
      <c r="B1220" t="s">
        <v>2386</v>
      </c>
      <c r="C1220" t="s">
        <v>2387</v>
      </c>
    </row>
    <row r="1221" spans="1:3" x14ac:dyDescent="0.25">
      <c r="A1221" t="str">
        <f>"763028"</f>
        <v>763028</v>
      </c>
      <c r="B1221" t="s">
        <v>2388</v>
      </c>
      <c r="C1221" t="s">
        <v>2389</v>
      </c>
    </row>
    <row r="1222" spans="1:3" x14ac:dyDescent="0.25">
      <c r="A1222" t="str">
        <f>"763029"</f>
        <v>763029</v>
      </c>
      <c r="B1222" t="s">
        <v>2390</v>
      </c>
      <c r="C1222" t="s">
        <v>2391</v>
      </c>
    </row>
    <row r="1223" spans="1:3" x14ac:dyDescent="0.25">
      <c r="A1223" t="str">
        <f>"763031"</f>
        <v>763031</v>
      </c>
      <c r="B1223" t="s">
        <v>2392</v>
      </c>
      <c r="C1223" t="s">
        <v>2393</v>
      </c>
    </row>
    <row r="1224" spans="1:3" x14ac:dyDescent="0.25">
      <c r="A1224" t="str">
        <f>"764036"</f>
        <v>764036</v>
      </c>
      <c r="B1224" t="s">
        <v>2394</v>
      </c>
      <c r="C1224" t="s">
        <v>2395</v>
      </c>
    </row>
    <row r="1225" spans="1:3" x14ac:dyDescent="0.25">
      <c r="A1225" t="str">
        <f>"764037"</f>
        <v>764037</v>
      </c>
      <c r="B1225" t="s">
        <v>2396</v>
      </c>
      <c r="C1225" t="s">
        <v>2397</v>
      </c>
    </row>
    <row r="1226" spans="1:3" x14ac:dyDescent="0.25">
      <c r="A1226" t="str">
        <f>"764038"</f>
        <v>764038</v>
      </c>
      <c r="B1226" t="s">
        <v>2398</v>
      </c>
      <c r="C1226" t="s">
        <v>2399</v>
      </c>
    </row>
    <row r="1227" spans="1:3" x14ac:dyDescent="0.25">
      <c r="A1227" t="str">
        <f>"764039"</f>
        <v>764039</v>
      </c>
      <c r="B1227" t="s">
        <v>2400</v>
      </c>
      <c r="C1227" t="s">
        <v>2401</v>
      </c>
    </row>
    <row r="1228" spans="1:3" x14ac:dyDescent="0.25">
      <c r="A1228" t="str">
        <f>"764040"</f>
        <v>764040</v>
      </c>
      <c r="B1228" t="s">
        <v>2402</v>
      </c>
      <c r="C1228" t="s">
        <v>2403</v>
      </c>
    </row>
    <row r="1229" spans="1:3" x14ac:dyDescent="0.25">
      <c r="A1229" t="str">
        <f>"764041"</f>
        <v>764041</v>
      </c>
      <c r="B1229" t="s">
        <v>2404</v>
      </c>
      <c r="C1229" t="s">
        <v>2405</v>
      </c>
    </row>
    <row r="1230" spans="1:3" x14ac:dyDescent="0.25">
      <c r="A1230" t="str">
        <f>"764042"</f>
        <v>764042</v>
      </c>
      <c r="B1230" t="s">
        <v>2406</v>
      </c>
      <c r="C1230" t="s">
        <v>2407</v>
      </c>
    </row>
    <row r="1231" spans="1:3" x14ac:dyDescent="0.25">
      <c r="A1231" t="str">
        <f>"761115"</f>
        <v>761115</v>
      </c>
      <c r="B1231" t="s">
        <v>2408</v>
      </c>
      <c r="C1231" t="s">
        <v>2409</v>
      </c>
    </row>
    <row r="1232" spans="1:3" x14ac:dyDescent="0.25">
      <c r="A1232" t="str">
        <f>"767025"</f>
        <v>767025</v>
      </c>
      <c r="B1232" t="s">
        <v>2410</v>
      </c>
      <c r="C1232" t="s">
        <v>2411</v>
      </c>
    </row>
    <row r="1233" spans="1:3" x14ac:dyDescent="0.25">
      <c r="A1233" t="str">
        <f>"765002"</f>
        <v>765002</v>
      </c>
      <c r="B1233" t="s">
        <v>2412</v>
      </c>
      <c r="C1233" t="s">
        <v>2413</v>
      </c>
    </row>
    <row r="1234" spans="1:3" x14ac:dyDescent="0.25">
      <c r="A1234" t="str">
        <f>"765003"</f>
        <v>765003</v>
      </c>
      <c r="B1234" t="s">
        <v>2414</v>
      </c>
      <c r="C1234" t="s">
        <v>2415</v>
      </c>
    </row>
    <row r="1235" spans="1:3" x14ac:dyDescent="0.25">
      <c r="A1235" t="str">
        <f>"765004"</f>
        <v>765004</v>
      </c>
      <c r="B1235" t="s">
        <v>2416</v>
      </c>
      <c r="C1235" t="s">
        <v>2417</v>
      </c>
    </row>
    <row r="1236" spans="1:3" x14ac:dyDescent="0.25">
      <c r="A1236" t="str">
        <f>"89441 "</f>
        <v xml:space="preserve">89441 </v>
      </c>
      <c r="B1236" t="s">
        <v>2418</v>
      </c>
      <c r="C1236" t="s">
        <v>2419</v>
      </c>
    </row>
    <row r="1237" spans="1:3" x14ac:dyDescent="0.25">
      <c r="A1237" t="str">
        <f>"765005"</f>
        <v>765005</v>
      </c>
      <c r="B1237" t="s">
        <v>2420</v>
      </c>
      <c r="C1237" t="s">
        <v>2421</v>
      </c>
    </row>
    <row r="1238" spans="1:3" x14ac:dyDescent="0.25">
      <c r="A1238" t="str">
        <f>"999900"</f>
        <v>999900</v>
      </c>
      <c r="B1238" t="s">
        <v>2422</v>
      </c>
      <c r="C1238" t="s">
        <v>2423</v>
      </c>
    </row>
    <row r="1239" spans="1:3" x14ac:dyDescent="0.25">
      <c r="A1239" t="str">
        <f>"767026"</f>
        <v>767026</v>
      </c>
      <c r="B1239" t="s">
        <v>2424</v>
      </c>
      <c r="C1239" t="s">
        <v>2425</v>
      </c>
    </row>
    <row r="1240" spans="1:3" x14ac:dyDescent="0.25">
      <c r="A1240" t="str">
        <f>"81953 "</f>
        <v xml:space="preserve">81953 </v>
      </c>
      <c r="B1240" t="s">
        <v>2426</v>
      </c>
      <c r="C1240" t="s">
        <v>2427</v>
      </c>
    </row>
    <row r="1241" spans="1:3" x14ac:dyDescent="0.25">
      <c r="A1241" t="str">
        <f>"81951 "</f>
        <v xml:space="preserve">81951 </v>
      </c>
      <c r="B1241" t="s">
        <v>2428</v>
      </c>
      <c r="C1241" t="s">
        <v>52</v>
      </c>
    </row>
    <row r="1242" spans="1:3" x14ac:dyDescent="0.25">
      <c r="A1242" t="str">
        <f>"81545 "</f>
        <v xml:space="preserve">81545 </v>
      </c>
      <c r="B1242" t="s">
        <v>2426</v>
      </c>
      <c r="C1242" t="s">
        <v>2429</v>
      </c>
    </row>
    <row r="1243" spans="1:3" x14ac:dyDescent="0.25">
      <c r="A1243" t="str">
        <f>"88028 "</f>
        <v xml:space="preserve">88028 </v>
      </c>
      <c r="B1243" t="s">
        <v>2430</v>
      </c>
      <c r="C1243" t="s">
        <v>2431</v>
      </c>
    </row>
    <row r="1244" spans="1:3" x14ac:dyDescent="0.25">
      <c r="A1244" t="str">
        <f>"761116"</f>
        <v>761116</v>
      </c>
      <c r="B1244" t="s">
        <v>2432</v>
      </c>
      <c r="C1244" t="s">
        <v>2433</v>
      </c>
    </row>
    <row r="1245" spans="1:3" x14ac:dyDescent="0.25">
      <c r="A1245" t="str">
        <f>"761117"</f>
        <v>761117</v>
      </c>
      <c r="B1245" t="s">
        <v>2434</v>
      </c>
      <c r="C1245" t="s">
        <v>2435</v>
      </c>
    </row>
    <row r="1246" spans="1:3" x14ac:dyDescent="0.25">
      <c r="A1246" t="str">
        <f>"761118"</f>
        <v>761118</v>
      </c>
      <c r="B1246" t="s">
        <v>2436</v>
      </c>
      <c r="C1246" t="s">
        <v>2437</v>
      </c>
    </row>
    <row r="1247" spans="1:3" x14ac:dyDescent="0.25">
      <c r="A1247" t="str">
        <f>"8133T1"</f>
        <v>8133T1</v>
      </c>
      <c r="B1247" t="s">
        <v>2438</v>
      </c>
      <c r="C1247" t="s">
        <v>2439</v>
      </c>
    </row>
    <row r="1248" spans="1:3" x14ac:dyDescent="0.25">
      <c r="A1248" t="str">
        <f>"761119"</f>
        <v>761119</v>
      </c>
      <c r="B1248" t="s">
        <v>2440</v>
      </c>
      <c r="C1248" t="s">
        <v>2441</v>
      </c>
    </row>
    <row r="1249" spans="1:3" x14ac:dyDescent="0.25">
      <c r="A1249" t="str">
        <f>"761120"</f>
        <v>761120</v>
      </c>
      <c r="B1249" t="s">
        <v>2442</v>
      </c>
      <c r="C1249" t="s">
        <v>2443</v>
      </c>
    </row>
    <row r="1250" spans="1:3" x14ac:dyDescent="0.25">
      <c r="A1250" t="str">
        <f>"761121"</f>
        <v>761121</v>
      </c>
      <c r="B1250" t="s">
        <v>1869</v>
      </c>
      <c r="C1250" t="s">
        <v>2444</v>
      </c>
    </row>
    <row r="1251" spans="1:3" x14ac:dyDescent="0.25">
      <c r="A1251" t="str">
        <f>"761122"</f>
        <v>761122</v>
      </c>
      <c r="B1251" t="s">
        <v>2445</v>
      </c>
      <c r="C1251" t="s">
        <v>2446</v>
      </c>
    </row>
    <row r="1252" spans="1:3" x14ac:dyDescent="0.25">
      <c r="A1252" t="str">
        <f>"761123"</f>
        <v>761123</v>
      </c>
      <c r="B1252" t="s">
        <v>2447</v>
      </c>
      <c r="C1252" t="s">
        <v>2448</v>
      </c>
    </row>
    <row r="1253" spans="1:3" x14ac:dyDescent="0.25">
      <c r="A1253" t="str">
        <f>"761124"</f>
        <v>761124</v>
      </c>
      <c r="B1253" t="s">
        <v>2449</v>
      </c>
      <c r="C1253" t="s">
        <v>2450</v>
      </c>
    </row>
    <row r="1254" spans="1:3" x14ac:dyDescent="0.25">
      <c r="A1254" t="str">
        <f>"761125"</f>
        <v>761125</v>
      </c>
      <c r="B1254" t="s">
        <v>2451</v>
      </c>
      <c r="C1254" t="s">
        <v>2452</v>
      </c>
    </row>
    <row r="1255" spans="1:3" x14ac:dyDescent="0.25">
      <c r="A1255" t="str">
        <f>"761126"</f>
        <v>761126</v>
      </c>
      <c r="B1255" t="s">
        <v>2453</v>
      </c>
      <c r="C1255" t="s">
        <v>2454</v>
      </c>
    </row>
    <row r="1256" spans="1:3" x14ac:dyDescent="0.25">
      <c r="A1256" t="str">
        <f>"761127"</f>
        <v>761127</v>
      </c>
      <c r="B1256" t="s">
        <v>2455</v>
      </c>
      <c r="C1256" t="s">
        <v>2456</v>
      </c>
    </row>
    <row r="1257" spans="1:3" x14ac:dyDescent="0.25">
      <c r="A1257" t="str">
        <f>"761128"</f>
        <v>761128</v>
      </c>
      <c r="B1257" t="s">
        <v>2457</v>
      </c>
      <c r="C1257" t="s">
        <v>2458</v>
      </c>
    </row>
    <row r="1258" spans="1:3" x14ac:dyDescent="0.25">
      <c r="A1258" t="str">
        <f>"761129"</f>
        <v>761129</v>
      </c>
      <c r="B1258" t="s">
        <v>1897</v>
      </c>
      <c r="C1258" t="s">
        <v>2459</v>
      </c>
    </row>
    <row r="1259" spans="1:3" x14ac:dyDescent="0.25">
      <c r="A1259" t="str">
        <f>"761130"</f>
        <v>761130</v>
      </c>
      <c r="B1259" t="s">
        <v>2460</v>
      </c>
      <c r="C1259" t="s">
        <v>2461</v>
      </c>
    </row>
    <row r="1260" spans="1:3" x14ac:dyDescent="0.25">
      <c r="A1260" t="str">
        <f>"761131"</f>
        <v>761131</v>
      </c>
      <c r="B1260" t="s">
        <v>2462</v>
      </c>
      <c r="C1260" t="s">
        <v>2463</v>
      </c>
    </row>
    <row r="1261" spans="1:3" x14ac:dyDescent="0.25">
      <c r="A1261" t="str">
        <f>"761132"</f>
        <v>761132</v>
      </c>
      <c r="B1261" t="s">
        <v>2464</v>
      </c>
      <c r="C1261" t="s">
        <v>2465</v>
      </c>
    </row>
    <row r="1262" spans="1:3" x14ac:dyDescent="0.25">
      <c r="A1262" t="str">
        <f>"761133"</f>
        <v>761133</v>
      </c>
      <c r="B1262" t="s">
        <v>2466</v>
      </c>
      <c r="C1262" t="s">
        <v>2467</v>
      </c>
    </row>
    <row r="1263" spans="1:3" x14ac:dyDescent="0.25">
      <c r="A1263" t="str">
        <f>"761134"</f>
        <v>761134</v>
      </c>
      <c r="B1263" t="s">
        <v>2468</v>
      </c>
      <c r="C1263" t="s">
        <v>2469</v>
      </c>
    </row>
    <row r="1264" spans="1:3" x14ac:dyDescent="0.25">
      <c r="A1264" t="str">
        <f>"761135"</f>
        <v>761135</v>
      </c>
      <c r="B1264" t="s">
        <v>2470</v>
      </c>
      <c r="C1264" t="s">
        <v>2471</v>
      </c>
    </row>
    <row r="1265" spans="1:3" x14ac:dyDescent="0.25">
      <c r="A1265" t="str">
        <f>"761136"</f>
        <v>761136</v>
      </c>
      <c r="B1265" t="s">
        <v>2472</v>
      </c>
      <c r="C1265" t="s">
        <v>2473</v>
      </c>
    </row>
    <row r="1266" spans="1:3" x14ac:dyDescent="0.25">
      <c r="A1266" t="str">
        <f>"761137"</f>
        <v>761137</v>
      </c>
      <c r="B1266" t="s">
        <v>2474</v>
      </c>
      <c r="C1266" t="s">
        <v>2475</v>
      </c>
    </row>
    <row r="1267" spans="1:3" x14ac:dyDescent="0.25">
      <c r="A1267" t="str">
        <f>"761138"</f>
        <v>761138</v>
      </c>
      <c r="B1267" t="s">
        <v>2476</v>
      </c>
      <c r="C1267" t="s">
        <v>2477</v>
      </c>
    </row>
    <row r="1268" spans="1:3" x14ac:dyDescent="0.25">
      <c r="A1268" t="str">
        <f>"761139"</f>
        <v>761139</v>
      </c>
      <c r="B1268" t="s">
        <v>2478</v>
      </c>
      <c r="C1268" t="s">
        <v>2479</v>
      </c>
    </row>
    <row r="1269" spans="1:3" x14ac:dyDescent="0.25">
      <c r="A1269" t="str">
        <f>"761140"</f>
        <v>761140</v>
      </c>
      <c r="B1269" t="s">
        <v>2480</v>
      </c>
      <c r="C1269" t="s">
        <v>2481</v>
      </c>
    </row>
    <row r="1270" spans="1:3" x14ac:dyDescent="0.25">
      <c r="A1270" t="str">
        <f>"761141"</f>
        <v>761141</v>
      </c>
      <c r="B1270" t="s">
        <v>2482</v>
      </c>
      <c r="C1270" t="s">
        <v>2483</v>
      </c>
    </row>
    <row r="1271" spans="1:3" x14ac:dyDescent="0.25">
      <c r="A1271" t="str">
        <f>"761142"</f>
        <v>761142</v>
      </c>
      <c r="B1271" t="s">
        <v>2484</v>
      </c>
      <c r="C1271" t="s">
        <v>2485</v>
      </c>
    </row>
    <row r="1272" spans="1:3" x14ac:dyDescent="0.25">
      <c r="A1272" t="str">
        <f>"761143"</f>
        <v>761143</v>
      </c>
      <c r="B1272" t="s">
        <v>2486</v>
      </c>
      <c r="C1272" t="s">
        <v>2487</v>
      </c>
    </row>
    <row r="1273" spans="1:3" x14ac:dyDescent="0.25">
      <c r="A1273" t="str">
        <f>"761144"</f>
        <v>761144</v>
      </c>
      <c r="B1273" t="s">
        <v>2488</v>
      </c>
      <c r="C1273" t="s">
        <v>2489</v>
      </c>
    </row>
    <row r="1274" spans="1:3" x14ac:dyDescent="0.25">
      <c r="A1274" t="str">
        <f>"761145"</f>
        <v>761145</v>
      </c>
      <c r="B1274" t="s">
        <v>2490</v>
      </c>
      <c r="C1274" t="s">
        <v>2491</v>
      </c>
    </row>
    <row r="1275" spans="1:3" x14ac:dyDescent="0.25">
      <c r="A1275" t="str">
        <f>"761146"</f>
        <v>761146</v>
      </c>
      <c r="B1275" t="s">
        <v>2492</v>
      </c>
      <c r="C1275" t="s">
        <v>2493</v>
      </c>
    </row>
    <row r="1276" spans="1:3" x14ac:dyDescent="0.25">
      <c r="A1276" t="str">
        <f>"761147"</f>
        <v>761147</v>
      </c>
      <c r="B1276" t="s">
        <v>1971</v>
      </c>
      <c r="C1276" t="s">
        <v>2494</v>
      </c>
    </row>
    <row r="1277" spans="1:3" x14ac:dyDescent="0.25">
      <c r="A1277" t="str">
        <f>"761148"</f>
        <v>761148</v>
      </c>
      <c r="B1277" t="s">
        <v>2495</v>
      </c>
      <c r="C1277" t="s">
        <v>2496</v>
      </c>
    </row>
    <row r="1278" spans="1:3" x14ac:dyDescent="0.25">
      <c r="A1278" t="str">
        <f>"761149"</f>
        <v>761149</v>
      </c>
      <c r="B1278" t="s">
        <v>2497</v>
      </c>
      <c r="C1278" t="s">
        <v>2498</v>
      </c>
    </row>
    <row r="1279" spans="1:3" x14ac:dyDescent="0.25">
      <c r="A1279" t="str">
        <f>"761150"</f>
        <v>761150</v>
      </c>
      <c r="B1279" t="s">
        <v>2499</v>
      </c>
      <c r="C1279" t="s">
        <v>2500</v>
      </c>
    </row>
    <row r="1280" spans="1:3" x14ac:dyDescent="0.25">
      <c r="A1280" t="str">
        <f>"761151"</f>
        <v>761151</v>
      </c>
      <c r="B1280" t="s">
        <v>2501</v>
      </c>
      <c r="C1280" t="s">
        <v>2502</v>
      </c>
    </row>
    <row r="1281" spans="1:3" x14ac:dyDescent="0.25">
      <c r="A1281" t="str">
        <f>"761152"</f>
        <v>761152</v>
      </c>
      <c r="B1281" t="s">
        <v>2009</v>
      </c>
      <c r="C1281" t="s">
        <v>2503</v>
      </c>
    </row>
    <row r="1282" spans="1:3" x14ac:dyDescent="0.25">
      <c r="A1282" t="str">
        <f>"761153"</f>
        <v>761153</v>
      </c>
      <c r="B1282" t="s">
        <v>2017</v>
      </c>
      <c r="C1282" t="s">
        <v>2504</v>
      </c>
    </row>
    <row r="1283" spans="1:3" x14ac:dyDescent="0.25">
      <c r="A1283" t="str">
        <f>"761154"</f>
        <v>761154</v>
      </c>
      <c r="B1283" t="s">
        <v>2505</v>
      </c>
      <c r="C1283" t="s">
        <v>2506</v>
      </c>
    </row>
    <row r="1284" spans="1:3" x14ac:dyDescent="0.25">
      <c r="A1284" t="str">
        <f>"761155"</f>
        <v>761155</v>
      </c>
      <c r="B1284" t="s">
        <v>2507</v>
      </c>
      <c r="C1284" t="s">
        <v>2508</v>
      </c>
    </row>
    <row r="1285" spans="1:3" x14ac:dyDescent="0.25">
      <c r="A1285" t="str">
        <f>"761156"</f>
        <v>761156</v>
      </c>
      <c r="B1285" t="s">
        <v>2509</v>
      </c>
      <c r="C1285" t="s">
        <v>2510</v>
      </c>
    </row>
    <row r="1286" spans="1:3" x14ac:dyDescent="0.25">
      <c r="A1286" t="str">
        <f>"761157"</f>
        <v>761157</v>
      </c>
      <c r="B1286" t="s">
        <v>2511</v>
      </c>
      <c r="C1286" t="s">
        <v>2512</v>
      </c>
    </row>
    <row r="1287" spans="1:3" x14ac:dyDescent="0.25">
      <c r="A1287" t="str">
        <f>"761158"</f>
        <v>761158</v>
      </c>
      <c r="B1287" t="s">
        <v>2513</v>
      </c>
      <c r="C1287" t="s">
        <v>2514</v>
      </c>
    </row>
    <row r="1288" spans="1:3" x14ac:dyDescent="0.25">
      <c r="A1288" t="str">
        <f>"761159"</f>
        <v>761159</v>
      </c>
      <c r="B1288" t="s">
        <v>2515</v>
      </c>
      <c r="C1288" t="s">
        <v>2516</v>
      </c>
    </row>
    <row r="1289" spans="1:3" x14ac:dyDescent="0.25">
      <c r="A1289" t="str">
        <f>"762109"</f>
        <v>762109</v>
      </c>
      <c r="B1289" t="s">
        <v>2517</v>
      </c>
      <c r="C1289" t="s">
        <v>2518</v>
      </c>
    </row>
    <row r="1290" spans="1:3" x14ac:dyDescent="0.25">
      <c r="A1290" t="str">
        <f>"762110"</f>
        <v>762110</v>
      </c>
      <c r="B1290" t="s">
        <v>2519</v>
      </c>
      <c r="C1290" t="s">
        <v>2520</v>
      </c>
    </row>
    <row r="1291" spans="1:3" x14ac:dyDescent="0.25">
      <c r="A1291" t="str">
        <f>"762111"</f>
        <v>762111</v>
      </c>
      <c r="B1291" t="s">
        <v>2521</v>
      </c>
      <c r="C1291" t="s">
        <v>2522</v>
      </c>
    </row>
    <row r="1292" spans="1:3" x14ac:dyDescent="0.25">
      <c r="A1292" t="str">
        <f>"762112"</f>
        <v>762112</v>
      </c>
      <c r="B1292" t="s">
        <v>2523</v>
      </c>
      <c r="C1292" t="s">
        <v>2524</v>
      </c>
    </row>
    <row r="1293" spans="1:3" x14ac:dyDescent="0.25">
      <c r="A1293" t="str">
        <f>"762113"</f>
        <v>762113</v>
      </c>
      <c r="B1293" t="s">
        <v>2525</v>
      </c>
      <c r="C1293" t="s">
        <v>2526</v>
      </c>
    </row>
    <row r="1294" spans="1:3" x14ac:dyDescent="0.25">
      <c r="A1294" t="str">
        <f>"762114"</f>
        <v>762114</v>
      </c>
      <c r="B1294" t="s">
        <v>2527</v>
      </c>
      <c r="C1294" t="s">
        <v>2528</v>
      </c>
    </row>
    <row r="1295" spans="1:3" x14ac:dyDescent="0.25">
      <c r="A1295" t="str">
        <f>"762115"</f>
        <v>762115</v>
      </c>
      <c r="B1295" t="s">
        <v>2529</v>
      </c>
      <c r="C1295" t="s">
        <v>2530</v>
      </c>
    </row>
    <row r="1296" spans="1:3" x14ac:dyDescent="0.25">
      <c r="A1296" t="str">
        <f>"762116"</f>
        <v>762116</v>
      </c>
      <c r="B1296" t="s">
        <v>2531</v>
      </c>
      <c r="C1296" t="s">
        <v>2532</v>
      </c>
    </row>
    <row r="1297" spans="1:3" x14ac:dyDescent="0.25">
      <c r="A1297" t="str">
        <f>"811815"</f>
        <v>811815</v>
      </c>
      <c r="B1297" t="s">
        <v>2533</v>
      </c>
      <c r="C1297" t="s">
        <v>2534</v>
      </c>
    </row>
    <row r="1298" spans="1:3" x14ac:dyDescent="0.25">
      <c r="A1298" t="str">
        <f>"762117"</f>
        <v>762117</v>
      </c>
      <c r="B1298" t="s">
        <v>2535</v>
      </c>
      <c r="C1298" t="s">
        <v>2536</v>
      </c>
    </row>
    <row r="1299" spans="1:3" x14ac:dyDescent="0.25">
      <c r="A1299" t="str">
        <f>"762118"</f>
        <v>762118</v>
      </c>
      <c r="B1299" t="s">
        <v>2537</v>
      </c>
      <c r="C1299" t="s">
        <v>2538</v>
      </c>
    </row>
    <row r="1300" spans="1:3" x14ac:dyDescent="0.25">
      <c r="A1300" t="str">
        <f>"762119"</f>
        <v>762119</v>
      </c>
      <c r="B1300" t="s">
        <v>2539</v>
      </c>
      <c r="C1300" t="s">
        <v>2540</v>
      </c>
    </row>
    <row r="1301" spans="1:3" x14ac:dyDescent="0.25">
      <c r="A1301" t="str">
        <f>"762120"</f>
        <v>762120</v>
      </c>
      <c r="B1301" t="s">
        <v>2541</v>
      </c>
      <c r="C1301" t="s">
        <v>2542</v>
      </c>
    </row>
    <row r="1302" spans="1:3" x14ac:dyDescent="0.25">
      <c r="A1302" t="str">
        <f>"762121"</f>
        <v>762121</v>
      </c>
      <c r="B1302" t="s">
        <v>2543</v>
      </c>
      <c r="C1302" t="s">
        <v>2544</v>
      </c>
    </row>
    <row r="1303" spans="1:3" x14ac:dyDescent="0.25">
      <c r="A1303" t="str">
        <f>"762122"</f>
        <v>762122</v>
      </c>
      <c r="B1303" t="s">
        <v>2545</v>
      </c>
      <c r="C1303" t="s">
        <v>2546</v>
      </c>
    </row>
    <row r="1304" spans="1:3" x14ac:dyDescent="0.25">
      <c r="A1304" t="str">
        <f>"762123"</f>
        <v>762123</v>
      </c>
      <c r="B1304" t="s">
        <v>2547</v>
      </c>
      <c r="C1304" t="s">
        <v>2548</v>
      </c>
    </row>
    <row r="1305" spans="1:3" x14ac:dyDescent="0.25">
      <c r="A1305" t="str">
        <f>"762124"</f>
        <v>762124</v>
      </c>
      <c r="B1305" t="s">
        <v>2549</v>
      </c>
      <c r="C1305" t="s">
        <v>2550</v>
      </c>
    </row>
    <row r="1306" spans="1:3" x14ac:dyDescent="0.25">
      <c r="A1306" t="str">
        <f>"811816"</f>
        <v>811816</v>
      </c>
      <c r="B1306" t="s">
        <v>2551</v>
      </c>
      <c r="C1306" t="s">
        <v>2552</v>
      </c>
    </row>
    <row r="1307" spans="1:3" x14ac:dyDescent="0.25">
      <c r="A1307" t="str">
        <f>"762125"</f>
        <v>762125</v>
      </c>
      <c r="B1307" t="s">
        <v>2553</v>
      </c>
      <c r="C1307" t="s">
        <v>2554</v>
      </c>
    </row>
    <row r="1308" spans="1:3" x14ac:dyDescent="0.25">
      <c r="A1308" t="str">
        <f>"762126"</f>
        <v>762126</v>
      </c>
      <c r="B1308" t="s">
        <v>2555</v>
      </c>
      <c r="C1308" t="s">
        <v>2556</v>
      </c>
    </row>
    <row r="1309" spans="1:3" x14ac:dyDescent="0.25">
      <c r="A1309" t="str">
        <f>"762127"</f>
        <v>762127</v>
      </c>
      <c r="B1309" t="s">
        <v>2557</v>
      </c>
      <c r="C1309" t="s">
        <v>2558</v>
      </c>
    </row>
    <row r="1310" spans="1:3" x14ac:dyDescent="0.25">
      <c r="A1310" t="str">
        <f>"762128"</f>
        <v>762128</v>
      </c>
      <c r="B1310" t="s">
        <v>2559</v>
      </c>
      <c r="C1310" t="s">
        <v>2560</v>
      </c>
    </row>
    <row r="1311" spans="1:3" x14ac:dyDescent="0.25">
      <c r="A1311" t="str">
        <f>"762129"</f>
        <v>762129</v>
      </c>
      <c r="B1311" t="s">
        <v>2561</v>
      </c>
      <c r="C1311" t="s">
        <v>2562</v>
      </c>
    </row>
    <row r="1312" spans="1:3" x14ac:dyDescent="0.25">
      <c r="A1312" t="str">
        <f>"762130"</f>
        <v>762130</v>
      </c>
      <c r="B1312" t="s">
        <v>2563</v>
      </c>
      <c r="C1312" t="s">
        <v>2564</v>
      </c>
    </row>
    <row r="1313" spans="1:3" x14ac:dyDescent="0.25">
      <c r="A1313" t="str">
        <f>"762131"</f>
        <v>762131</v>
      </c>
      <c r="B1313" t="s">
        <v>2565</v>
      </c>
      <c r="C1313" t="s">
        <v>2566</v>
      </c>
    </row>
    <row r="1314" spans="1:3" x14ac:dyDescent="0.25">
      <c r="A1314" t="str">
        <f>"762132"</f>
        <v>762132</v>
      </c>
      <c r="B1314" t="s">
        <v>2567</v>
      </c>
      <c r="C1314" t="s">
        <v>2568</v>
      </c>
    </row>
    <row r="1315" spans="1:3" x14ac:dyDescent="0.25">
      <c r="A1315" t="str">
        <f>"762133"</f>
        <v>762133</v>
      </c>
      <c r="B1315" t="s">
        <v>2569</v>
      </c>
      <c r="C1315" t="s">
        <v>2570</v>
      </c>
    </row>
    <row r="1316" spans="1:3" x14ac:dyDescent="0.25">
      <c r="A1316" t="str">
        <f>"762134"</f>
        <v>762134</v>
      </c>
      <c r="B1316" t="s">
        <v>2571</v>
      </c>
      <c r="C1316" t="s">
        <v>2572</v>
      </c>
    </row>
    <row r="1317" spans="1:3" x14ac:dyDescent="0.25">
      <c r="A1317" t="str">
        <f>"762135"</f>
        <v>762135</v>
      </c>
      <c r="B1317" t="s">
        <v>2573</v>
      </c>
      <c r="C1317" t="s">
        <v>2574</v>
      </c>
    </row>
    <row r="1318" spans="1:3" x14ac:dyDescent="0.25">
      <c r="A1318" t="str">
        <f>"762136"</f>
        <v>762136</v>
      </c>
      <c r="B1318" t="s">
        <v>2575</v>
      </c>
      <c r="C1318" t="s">
        <v>2576</v>
      </c>
    </row>
    <row r="1319" spans="1:3" x14ac:dyDescent="0.25">
      <c r="A1319" t="str">
        <f>"762137"</f>
        <v>762137</v>
      </c>
      <c r="B1319" t="s">
        <v>2577</v>
      </c>
      <c r="C1319" t="s">
        <v>2578</v>
      </c>
    </row>
    <row r="1320" spans="1:3" x14ac:dyDescent="0.25">
      <c r="A1320" t="str">
        <f>"762138"</f>
        <v>762138</v>
      </c>
      <c r="B1320" t="s">
        <v>2579</v>
      </c>
      <c r="C1320" t="s">
        <v>2580</v>
      </c>
    </row>
    <row r="1321" spans="1:3" x14ac:dyDescent="0.25">
      <c r="A1321" t="str">
        <f>"762139"</f>
        <v>762139</v>
      </c>
      <c r="B1321" t="s">
        <v>2581</v>
      </c>
      <c r="C1321" t="s">
        <v>2582</v>
      </c>
    </row>
    <row r="1322" spans="1:3" x14ac:dyDescent="0.25">
      <c r="A1322" t="str">
        <f>"762140"</f>
        <v>762140</v>
      </c>
      <c r="B1322" t="s">
        <v>2583</v>
      </c>
      <c r="C1322" t="s">
        <v>2584</v>
      </c>
    </row>
    <row r="1323" spans="1:3" x14ac:dyDescent="0.25">
      <c r="A1323" t="str">
        <f>"762141"</f>
        <v>762141</v>
      </c>
      <c r="B1323" t="s">
        <v>2585</v>
      </c>
      <c r="C1323" t="s">
        <v>2586</v>
      </c>
    </row>
    <row r="1324" spans="1:3" x14ac:dyDescent="0.25">
      <c r="A1324" t="str">
        <f>"762142"</f>
        <v>762142</v>
      </c>
      <c r="B1324" t="s">
        <v>2587</v>
      </c>
      <c r="C1324" t="s">
        <v>2588</v>
      </c>
    </row>
    <row r="1325" spans="1:3" x14ac:dyDescent="0.25">
      <c r="A1325" t="str">
        <f>"762143"</f>
        <v>762143</v>
      </c>
      <c r="B1325" t="s">
        <v>2589</v>
      </c>
      <c r="C1325" t="s">
        <v>2589</v>
      </c>
    </row>
    <row r="1326" spans="1:3" x14ac:dyDescent="0.25">
      <c r="A1326" t="str">
        <f>"762144"</f>
        <v>762144</v>
      </c>
      <c r="B1326" t="s">
        <v>2590</v>
      </c>
      <c r="C1326" t="s">
        <v>2591</v>
      </c>
    </row>
    <row r="1327" spans="1:3" x14ac:dyDescent="0.25">
      <c r="A1327" t="str">
        <f>"762145"</f>
        <v>762145</v>
      </c>
      <c r="B1327" t="s">
        <v>2592</v>
      </c>
      <c r="C1327" t="s">
        <v>2593</v>
      </c>
    </row>
    <row r="1328" spans="1:3" x14ac:dyDescent="0.25">
      <c r="A1328" t="str">
        <f>"762146"</f>
        <v>762146</v>
      </c>
      <c r="B1328" t="s">
        <v>2594</v>
      </c>
      <c r="C1328" t="s">
        <v>2595</v>
      </c>
    </row>
    <row r="1329" spans="1:3" x14ac:dyDescent="0.25">
      <c r="A1329" t="str">
        <f>"762147"</f>
        <v>762147</v>
      </c>
      <c r="B1329" t="s">
        <v>2596</v>
      </c>
      <c r="C1329" t="s">
        <v>2597</v>
      </c>
    </row>
    <row r="1330" spans="1:3" x14ac:dyDescent="0.25">
      <c r="A1330" t="str">
        <f>"762148"</f>
        <v>762148</v>
      </c>
      <c r="B1330" t="s">
        <v>2598</v>
      </c>
      <c r="C1330" t="s">
        <v>2599</v>
      </c>
    </row>
    <row r="1331" spans="1:3" x14ac:dyDescent="0.25">
      <c r="A1331" t="str">
        <f>"762149"</f>
        <v>762149</v>
      </c>
      <c r="B1331" t="s">
        <v>2600</v>
      </c>
      <c r="C1331" t="s">
        <v>2601</v>
      </c>
    </row>
    <row r="1332" spans="1:3" x14ac:dyDescent="0.25">
      <c r="A1332" t="str">
        <f>"762150"</f>
        <v>762150</v>
      </c>
      <c r="B1332" t="s">
        <v>2602</v>
      </c>
      <c r="C1332" t="s">
        <v>2603</v>
      </c>
    </row>
    <row r="1333" spans="1:3" x14ac:dyDescent="0.25">
      <c r="A1333" t="str">
        <f>"762151"</f>
        <v>762151</v>
      </c>
      <c r="B1333" t="s">
        <v>2604</v>
      </c>
      <c r="C1333" t="s">
        <v>2605</v>
      </c>
    </row>
    <row r="1334" spans="1:3" x14ac:dyDescent="0.25">
      <c r="A1334" t="str">
        <f>"762152"</f>
        <v>762152</v>
      </c>
      <c r="B1334" t="s">
        <v>2606</v>
      </c>
      <c r="C1334" t="s">
        <v>2607</v>
      </c>
    </row>
    <row r="1335" spans="1:3" x14ac:dyDescent="0.25">
      <c r="A1335" t="str">
        <f>"762153"</f>
        <v>762153</v>
      </c>
      <c r="B1335" t="s">
        <v>2608</v>
      </c>
      <c r="C1335" t="s">
        <v>2609</v>
      </c>
    </row>
    <row r="1336" spans="1:3" x14ac:dyDescent="0.25">
      <c r="A1336" t="str">
        <f>"762154"</f>
        <v>762154</v>
      </c>
      <c r="B1336" t="s">
        <v>2610</v>
      </c>
      <c r="C1336" t="s">
        <v>2611</v>
      </c>
    </row>
    <row r="1337" spans="1:3" x14ac:dyDescent="0.25">
      <c r="A1337" t="str">
        <f>"762155"</f>
        <v>762155</v>
      </c>
      <c r="B1337" t="s">
        <v>2612</v>
      </c>
      <c r="C1337" t="s">
        <v>2613</v>
      </c>
    </row>
    <row r="1338" spans="1:3" x14ac:dyDescent="0.25">
      <c r="A1338" t="str">
        <f>"762156"</f>
        <v>762156</v>
      </c>
      <c r="B1338" t="s">
        <v>2614</v>
      </c>
      <c r="C1338" t="s">
        <v>2615</v>
      </c>
    </row>
    <row r="1339" spans="1:3" x14ac:dyDescent="0.25">
      <c r="A1339" t="str">
        <f>"762157"</f>
        <v>762157</v>
      </c>
      <c r="B1339" t="s">
        <v>2616</v>
      </c>
      <c r="C1339" t="s">
        <v>2617</v>
      </c>
    </row>
    <row r="1340" spans="1:3" x14ac:dyDescent="0.25">
      <c r="A1340" t="str">
        <f>"762158"</f>
        <v>762158</v>
      </c>
      <c r="B1340" t="s">
        <v>2618</v>
      </c>
      <c r="C1340" t="s">
        <v>2619</v>
      </c>
    </row>
    <row r="1341" spans="1:3" x14ac:dyDescent="0.25">
      <c r="A1341" t="str">
        <f>"762159"</f>
        <v>762159</v>
      </c>
      <c r="B1341" t="s">
        <v>2620</v>
      </c>
      <c r="C1341" t="s">
        <v>2621</v>
      </c>
    </row>
    <row r="1342" spans="1:3" x14ac:dyDescent="0.25">
      <c r="A1342" t="str">
        <f>"762160"</f>
        <v>762160</v>
      </c>
      <c r="B1342" t="s">
        <v>2622</v>
      </c>
      <c r="C1342" t="s">
        <v>2623</v>
      </c>
    </row>
    <row r="1343" spans="1:3" x14ac:dyDescent="0.25">
      <c r="A1343" t="str">
        <f>"762161"</f>
        <v>762161</v>
      </c>
      <c r="B1343" t="s">
        <v>2624</v>
      </c>
      <c r="C1343" t="s">
        <v>2625</v>
      </c>
    </row>
    <row r="1344" spans="1:3" x14ac:dyDescent="0.25">
      <c r="A1344" t="str">
        <f>"762163"</f>
        <v>762163</v>
      </c>
      <c r="B1344" t="s">
        <v>2626</v>
      </c>
      <c r="C1344" t="s">
        <v>2627</v>
      </c>
    </row>
    <row r="1345" spans="1:3" x14ac:dyDescent="0.25">
      <c r="A1345" t="str">
        <f>"762164"</f>
        <v>762164</v>
      </c>
      <c r="B1345" t="s">
        <v>2628</v>
      </c>
      <c r="C1345" t="s">
        <v>2629</v>
      </c>
    </row>
    <row r="1346" spans="1:3" x14ac:dyDescent="0.25">
      <c r="A1346" t="str">
        <f>"762165"</f>
        <v>762165</v>
      </c>
      <c r="B1346" t="s">
        <v>2630</v>
      </c>
      <c r="C1346" t="s">
        <v>2631</v>
      </c>
    </row>
    <row r="1347" spans="1:3" x14ac:dyDescent="0.25">
      <c r="A1347" t="str">
        <f>"762166"</f>
        <v>762166</v>
      </c>
      <c r="B1347" t="s">
        <v>2632</v>
      </c>
      <c r="C1347" t="s">
        <v>2633</v>
      </c>
    </row>
    <row r="1348" spans="1:3" x14ac:dyDescent="0.25">
      <c r="A1348" t="str">
        <f>"762167"</f>
        <v>762167</v>
      </c>
      <c r="B1348" t="s">
        <v>2634</v>
      </c>
      <c r="C1348" t="s">
        <v>2635</v>
      </c>
    </row>
    <row r="1349" spans="1:3" x14ac:dyDescent="0.25">
      <c r="A1349" t="str">
        <f>"762168"</f>
        <v>762168</v>
      </c>
      <c r="B1349" t="s">
        <v>2636</v>
      </c>
      <c r="C1349" t="s">
        <v>2637</v>
      </c>
    </row>
    <row r="1350" spans="1:3" x14ac:dyDescent="0.25">
      <c r="A1350" t="str">
        <f>"762169"</f>
        <v>762169</v>
      </c>
      <c r="B1350" t="s">
        <v>2638</v>
      </c>
      <c r="C1350" t="s">
        <v>2639</v>
      </c>
    </row>
    <row r="1351" spans="1:3" x14ac:dyDescent="0.25">
      <c r="A1351" t="str">
        <f>"762170"</f>
        <v>762170</v>
      </c>
      <c r="B1351" t="s">
        <v>2640</v>
      </c>
      <c r="C1351" t="s">
        <v>2641</v>
      </c>
    </row>
    <row r="1352" spans="1:3" x14ac:dyDescent="0.25">
      <c r="A1352" t="str">
        <f>"762171"</f>
        <v>762171</v>
      </c>
      <c r="B1352" t="s">
        <v>2642</v>
      </c>
      <c r="C1352" t="s">
        <v>2643</v>
      </c>
    </row>
    <row r="1353" spans="1:3" x14ac:dyDescent="0.25">
      <c r="A1353" t="str">
        <f>"762172"</f>
        <v>762172</v>
      </c>
      <c r="B1353" t="s">
        <v>2644</v>
      </c>
      <c r="C1353" t="s">
        <v>2645</v>
      </c>
    </row>
    <row r="1354" spans="1:3" x14ac:dyDescent="0.25">
      <c r="A1354" t="str">
        <f>"762173"</f>
        <v>762173</v>
      </c>
      <c r="B1354" t="s">
        <v>2646</v>
      </c>
      <c r="C1354" t="s">
        <v>2647</v>
      </c>
    </row>
    <row r="1355" spans="1:3" x14ac:dyDescent="0.25">
      <c r="A1355" t="str">
        <f>"762174"</f>
        <v>762174</v>
      </c>
      <c r="B1355" t="s">
        <v>2648</v>
      </c>
      <c r="C1355" t="s">
        <v>2649</v>
      </c>
    </row>
    <row r="1356" spans="1:3" x14ac:dyDescent="0.25">
      <c r="A1356" t="str">
        <f>"762175"</f>
        <v>762175</v>
      </c>
      <c r="B1356" t="s">
        <v>2650</v>
      </c>
      <c r="C1356" t="s">
        <v>2651</v>
      </c>
    </row>
    <row r="1357" spans="1:3" x14ac:dyDescent="0.25">
      <c r="A1357" t="str">
        <f>"762176"</f>
        <v>762176</v>
      </c>
      <c r="B1357" t="s">
        <v>2652</v>
      </c>
      <c r="C1357" t="s">
        <v>2653</v>
      </c>
    </row>
    <row r="1358" spans="1:3" x14ac:dyDescent="0.25">
      <c r="A1358" t="str">
        <f>"762177"</f>
        <v>762177</v>
      </c>
      <c r="B1358" t="s">
        <v>2654</v>
      </c>
      <c r="C1358" t="s">
        <v>2655</v>
      </c>
    </row>
    <row r="1359" spans="1:3" x14ac:dyDescent="0.25">
      <c r="A1359" t="str">
        <f>"762178"</f>
        <v>762178</v>
      </c>
      <c r="B1359" t="s">
        <v>2656</v>
      </c>
      <c r="C1359" t="s">
        <v>2657</v>
      </c>
    </row>
    <row r="1360" spans="1:3" x14ac:dyDescent="0.25">
      <c r="A1360" t="str">
        <f>"762179"</f>
        <v>762179</v>
      </c>
      <c r="B1360" t="s">
        <v>2658</v>
      </c>
      <c r="C1360" t="s">
        <v>2659</v>
      </c>
    </row>
    <row r="1361" spans="1:3" x14ac:dyDescent="0.25">
      <c r="A1361" t="str">
        <f>"762180"</f>
        <v>762180</v>
      </c>
      <c r="B1361" t="s">
        <v>2660</v>
      </c>
      <c r="C1361" t="s">
        <v>2661</v>
      </c>
    </row>
    <row r="1362" spans="1:3" x14ac:dyDescent="0.25">
      <c r="A1362" t="str">
        <f>"763032"</f>
        <v>763032</v>
      </c>
      <c r="B1362" t="s">
        <v>2662</v>
      </c>
      <c r="C1362" t="s">
        <v>2663</v>
      </c>
    </row>
    <row r="1363" spans="1:3" x14ac:dyDescent="0.25">
      <c r="A1363" t="str">
        <f>"763033"</f>
        <v>763033</v>
      </c>
      <c r="B1363" t="s">
        <v>2664</v>
      </c>
      <c r="C1363" t="s">
        <v>2665</v>
      </c>
    </row>
    <row r="1364" spans="1:3" x14ac:dyDescent="0.25">
      <c r="A1364" t="str">
        <f>"763034"</f>
        <v>763034</v>
      </c>
      <c r="B1364" t="s">
        <v>2666</v>
      </c>
      <c r="C1364" t="s">
        <v>2667</v>
      </c>
    </row>
    <row r="1365" spans="1:3" x14ac:dyDescent="0.25">
      <c r="A1365" t="str">
        <f>"763035"</f>
        <v>763035</v>
      </c>
      <c r="B1365" t="s">
        <v>2668</v>
      </c>
      <c r="C1365" t="s">
        <v>2669</v>
      </c>
    </row>
    <row r="1366" spans="1:3" x14ac:dyDescent="0.25">
      <c r="A1366" t="str">
        <f>"763036"</f>
        <v>763036</v>
      </c>
      <c r="B1366" t="s">
        <v>2670</v>
      </c>
      <c r="C1366" t="s">
        <v>2671</v>
      </c>
    </row>
    <row r="1367" spans="1:3" x14ac:dyDescent="0.25">
      <c r="A1367" t="str">
        <f>"763037"</f>
        <v>763037</v>
      </c>
      <c r="B1367" t="s">
        <v>2672</v>
      </c>
      <c r="C1367" t="s">
        <v>2673</v>
      </c>
    </row>
    <row r="1368" spans="1:3" x14ac:dyDescent="0.25">
      <c r="A1368" t="str">
        <f>"763038"</f>
        <v>763038</v>
      </c>
      <c r="B1368" t="s">
        <v>2674</v>
      </c>
      <c r="C1368" t="s">
        <v>2675</v>
      </c>
    </row>
    <row r="1369" spans="1:3" x14ac:dyDescent="0.25">
      <c r="A1369" t="str">
        <f>"763039"</f>
        <v>763039</v>
      </c>
      <c r="B1369" t="s">
        <v>2676</v>
      </c>
      <c r="C1369" t="s">
        <v>2677</v>
      </c>
    </row>
    <row r="1370" spans="1:3" x14ac:dyDescent="0.25">
      <c r="A1370" t="str">
        <f>"763040"</f>
        <v>763040</v>
      </c>
      <c r="B1370" t="s">
        <v>2678</v>
      </c>
      <c r="C1370" t="s">
        <v>2679</v>
      </c>
    </row>
    <row r="1371" spans="1:3" x14ac:dyDescent="0.25">
      <c r="A1371" t="str">
        <f>"763041"</f>
        <v>763041</v>
      </c>
      <c r="B1371" t="s">
        <v>2680</v>
      </c>
      <c r="C1371" t="s">
        <v>2681</v>
      </c>
    </row>
    <row r="1372" spans="1:3" x14ac:dyDescent="0.25">
      <c r="A1372" t="str">
        <f>"763042"</f>
        <v>763042</v>
      </c>
      <c r="B1372" t="s">
        <v>2682</v>
      </c>
      <c r="C1372" t="s">
        <v>2683</v>
      </c>
    </row>
    <row r="1373" spans="1:3" x14ac:dyDescent="0.25">
      <c r="A1373" t="str">
        <f>"763043"</f>
        <v>763043</v>
      </c>
      <c r="B1373" t="s">
        <v>2684</v>
      </c>
      <c r="C1373" t="s">
        <v>2685</v>
      </c>
    </row>
    <row r="1374" spans="1:3" x14ac:dyDescent="0.25">
      <c r="A1374" t="str">
        <f>"763044"</f>
        <v>763044</v>
      </c>
      <c r="B1374" t="s">
        <v>2686</v>
      </c>
      <c r="C1374" t="s">
        <v>2687</v>
      </c>
    </row>
    <row r="1375" spans="1:3" x14ac:dyDescent="0.25">
      <c r="A1375" t="str">
        <f>"763045"</f>
        <v>763045</v>
      </c>
      <c r="B1375" t="s">
        <v>2688</v>
      </c>
      <c r="C1375" t="s">
        <v>2689</v>
      </c>
    </row>
    <row r="1376" spans="1:3" x14ac:dyDescent="0.25">
      <c r="A1376" t="str">
        <f>"763046"</f>
        <v>763046</v>
      </c>
      <c r="B1376" t="s">
        <v>2690</v>
      </c>
      <c r="C1376" t="s">
        <v>2691</v>
      </c>
    </row>
    <row r="1377" spans="1:3" x14ac:dyDescent="0.25">
      <c r="A1377" t="str">
        <f>"763047"</f>
        <v>763047</v>
      </c>
      <c r="B1377" t="s">
        <v>2692</v>
      </c>
      <c r="C1377" t="s">
        <v>2693</v>
      </c>
    </row>
    <row r="1378" spans="1:3" x14ac:dyDescent="0.25">
      <c r="A1378" t="str">
        <f>"763048"</f>
        <v>763048</v>
      </c>
      <c r="B1378" t="s">
        <v>2694</v>
      </c>
      <c r="C1378" t="s">
        <v>2695</v>
      </c>
    </row>
    <row r="1379" spans="1:3" x14ac:dyDescent="0.25">
      <c r="A1379" t="str">
        <f>"763049"</f>
        <v>763049</v>
      </c>
      <c r="B1379" t="s">
        <v>2696</v>
      </c>
      <c r="C1379" t="s">
        <v>2697</v>
      </c>
    </row>
    <row r="1380" spans="1:3" x14ac:dyDescent="0.25">
      <c r="A1380" t="str">
        <f>"763050"</f>
        <v>763050</v>
      </c>
      <c r="B1380" t="s">
        <v>2698</v>
      </c>
      <c r="C1380" t="s">
        <v>2699</v>
      </c>
    </row>
    <row r="1381" spans="1:3" x14ac:dyDescent="0.25">
      <c r="A1381" t="str">
        <f>"763051"</f>
        <v>763051</v>
      </c>
      <c r="B1381" t="s">
        <v>2700</v>
      </c>
      <c r="C1381" t="s">
        <v>2701</v>
      </c>
    </row>
    <row r="1382" spans="1:3" x14ac:dyDescent="0.25">
      <c r="A1382" t="str">
        <f>"763052"</f>
        <v>763052</v>
      </c>
      <c r="B1382" t="s">
        <v>2702</v>
      </c>
      <c r="C1382" t="s">
        <v>2703</v>
      </c>
    </row>
    <row r="1383" spans="1:3" x14ac:dyDescent="0.25">
      <c r="A1383" t="str">
        <f>"763053"</f>
        <v>763053</v>
      </c>
      <c r="B1383" t="s">
        <v>2704</v>
      </c>
      <c r="C1383" t="s">
        <v>2705</v>
      </c>
    </row>
    <row r="1384" spans="1:3" x14ac:dyDescent="0.25">
      <c r="A1384" t="str">
        <f>"763054"</f>
        <v>763054</v>
      </c>
      <c r="B1384" t="s">
        <v>2706</v>
      </c>
      <c r="C1384" t="s">
        <v>2707</v>
      </c>
    </row>
    <row r="1385" spans="1:3" x14ac:dyDescent="0.25">
      <c r="A1385" t="str">
        <f>"763055"</f>
        <v>763055</v>
      </c>
      <c r="B1385" t="s">
        <v>2708</v>
      </c>
      <c r="C1385" t="s">
        <v>2709</v>
      </c>
    </row>
    <row r="1386" spans="1:3" x14ac:dyDescent="0.25">
      <c r="A1386" t="str">
        <f>"763056"</f>
        <v>763056</v>
      </c>
      <c r="B1386" t="s">
        <v>2710</v>
      </c>
      <c r="C1386" t="s">
        <v>2711</v>
      </c>
    </row>
    <row r="1387" spans="1:3" x14ac:dyDescent="0.25">
      <c r="A1387" t="str">
        <f>"763057"</f>
        <v>763057</v>
      </c>
      <c r="B1387" t="s">
        <v>2712</v>
      </c>
      <c r="C1387" t="s">
        <v>2713</v>
      </c>
    </row>
    <row r="1388" spans="1:3" x14ac:dyDescent="0.25">
      <c r="A1388" t="str">
        <f>"763058"</f>
        <v>763058</v>
      </c>
      <c r="B1388" t="s">
        <v>2714</v>
      </c>
      <c r="C1388" t="s">
        <v>2715</v>
      </c>
    </row>
    <row r="1389" spans="1:3" x14ac:dyDescent="0.25">
      <c r="A1389" t="str">
        <f>"763059"</f>
        <v>763059</v>
      </c>
      <c r="B1389" t="s">
        <v>2716</v>
      </c>
      <c r="C1389" t="s">
        <v>2717</v>
      </c>
    </row>
    <row r="1390" spans="1:3" x14ac:dyDescent="0.25">
      <c r="A1390" t="str">
        <f>"763060"</f>
        <v>763060</v>
      </c>
      <c r="B1390" t="s">
        <v>2718</v>
      </c>
      <c r="C1390" t="s">
        <v>2719</v>
      </c>
    </row>
    <row r="1391" spans="1:3" x14ac:dyDescent="0.25">
      <c r="A1391" t="str">
        <f>"763061"</f>
        <v>763061</v>
      </c>
      <c r="B1391" t="s">
        <v>2720</v>
      </c>
      <c r="C1391" t="s">
        <v>2721</v>
      </c>
    </row>
    <row r="1392" spans="1:3" x14ac:dyDescent="0.25">
      <c r="A1392" t="str">
        <f>"763062"</f>
        <v>763062</v>
      </c>
      <c r="B1392" t="s">
        <v>2722</v>
      </c>
      <c r="C1392" t="s">
        <v>2723</v>
      </c>
    </row>
    <row r="1393" spans="1:3" x14ac:dyDescent="0.25">
      <c r="A1393" t="str">
        <f>"763063"</f>
        <v>763063</v>
      </c>
      <c r="B1393" t="s">
        <v>2724</v>
      </c>
      <c r="C1393" t="s">
        <v>2725</v>
      </c>
    </row>
    <row r="1394" spans="1:3" x14ac:dyDescent="0.25">
      <c r="A1394" t="str">
        <f>"763064"</f>
        <v>763064</v>
      </c>
      <c r="B1394" t="s">
        <v>2726</v>
      </c>
      <c r="C1394" t="s">
        <v>2727</v>
      </c>
    </row>
    <row r="1395" spans="1:3" x14ac:dyDescent="0.25">
      <c r="A1395" t="str">
        <f>"763065"</f>
        <v>763065</v>
      </c>
      <c r="B1395" t="s">
        <v>2728</v>
      </c>
      <c r="C1395" t="s">
        <v>2729</v>
      </c>
    </row>
    <row r="1396" spans="1:3" x14ac:dyDescent="0.25">
      <c r="A1396" t="str">
        <f>"763066"</f>
        <v>763066</v>
      </c>
      <c r="B1396" t="s">
        <v>2730</v>
      </c>
      <c r="C1396" t="s">
        <v>2731</v>
      </c>
    </row>
    <row r="1397" spans="1:3" x14ac:dyDescent="0.25">
      <c r="A1397" t="str">
        <f>"763067"</f>
        <v>763067</v>
      </c>
      <c r="B1397" t="s">
        <v>2732</v>
      </c>
      <c r="C1397" t="s">
        <v>2733</v>
      </c>
    </row>
    <row r="1398" spans="1:3" x14ac:dyDescent="0.25">
      <c r="A1398" t="str">
        <f>"763068"</f>
        <v>763068</v>
      </c>
      <c r="B1398" t="s">
        <v>2734</v>
      </c>
      <c r="C1398" t="s">
        <v>2735</v>
      </c>
    </row>
    <row r="1399" spans="1:3" x14ac:dyDescent="0.25">
      <c r="A1399" t="str">
        <f>"763069"</f>
        <v>763069</v>
      </c>
      <c r="B1399" t="s">
        <v>2736</v>
      </c>
      <c r="C1399" t="s">
        <v>2737</v>
      </c>
    </row>
    <row r="1400" spans="1:3" x14ac:dyDescent="0.25">
      <c r="A1400" t="str">
        <f>"763070"</f>
        <v>763070</v>
      </c>
      <c r="B1400" t="s">
        <v>2738</v>
      </c>
      <c r="C1400" t="s">
        <v>2739</v>
      </c>
    </row>
    <row r="1401" spans="1:3" x14ac:dyDescent="0.25">
      <c r="A1401" t="str">
        <f>"763071"</f>
        <v>763071</v>
      </c>
      <c r="B1401" t="s">
        <v>2740</v>
      </c>
      <c r="C1401" t="s">
        <v>2741</v>
      </c>
    </row>
    <row r="1402" spans="1:3" x14ac:dyDescent="0.25">
      <c r="A1402" t="str">
        <f>"763072"</f>
        <v>763072</v>
      </c>
      <c r="B1402" t="s">
        <v>2742</v>
      </c>
      <c r="C1402" t="s">
        <v>2743</v>
      </c>
    </row>
    <row r="1403" spans="1:3" x14ac:dyDescent="0.25">
      <c r="A1403" t="str">
        <f>"764043"</f>
        <v>764043</v>
      </c>
      <c r="B1403" t="s">
        <v>2744</v>
      </c>
      <c r="C1403" t="s">
        <v>2745</v>
      </c>
    </row>
    <row r="1404" spans="1:3" x14ac:dyDescent="0.25">
      <c r="A1404" t="str">
        <f>"764044"</f>
        <v>764044</v>
      </c>
      <c r="B1404" t="s">
        <v>2746</v>
      </c>
      <c r="C1404" t="s">
        <v>2747</v>
      </c>
    </row>
    <row r="1405" spans="1:3" x14ac:dyDescent="0.25">
      <c r="A1405" t="str">
        <f>"764045"</f>
        <v>764045</v>
      </c>
      <c r="B1405" t="s">
        <v>2748</v>
      </c>
      <c r="C1405" t="s">
        <v>2749</v>
      </c>
    </row>
    <row r="1406" spans="1:3" x14ac:dyDescent="0.25">
      <c r="A1406" t="str">
        <f>"764046"</f>
        <v>764046</v>
      </c>
      <c r="B1406" t="s">
        <v>2750</v>
      </c>
      <c r="C1406" t="s">
        <v>2751</v>
      </c>
    </row>
    <row r="1407" spans="1:3" x14ac:dyDescent="0.25">
      <c r="A1407" t="str">
        <f>"764047"</f>
        <v>764047</v>
      </c>
      <c r="B1407" t="s">
        <v>2752</v>
      </c>
      <c r="C1407" t="s">
        <v>2753</v>
      </c>
    </row>
    <row r="1408" spans="1:3" x14ac:dyDescent="0.25">
      <c r="A1408" t="str">
        <f>"01H2P "</f>
        <v xml:space="preserve">01H2P </v>
      </c>
      <c r="B1408" t="s">
        <v>2754</v>
      </c>
      <c r="C1408" t="s">
        <v>2755</v>
      </c>
    </row>
    <row r="1409" spans="1:3" x14ac:dyDescent="0.25">
      <c r="A1409" t="str">
        <f>"764048"</f>
        <v>764048</v>
      </c>
      <c r="B1409" t="s">
        <v>2756</v>
      </c>
      <c r="C1409" t="s">
        <v>2757</v>
      </c>
    </row>
    <row r="1410" spans="1:3" x14ac:dyDescent="0.25">
      <c r="A1410" t="str">
        <f>"764049"</f>
        <v>764049</v>
      </c>
      <c r="B1410" t="s">
        <v>2758</v>
      </c>
      <c r="C1410" t="s">
        <v>2759</v>
      </c>
    </row>
    <row r="1411" spans="1:3" x14ac:dyDescent="0.25">
      <c r="A1411" t="str">
        <f>"764050"</f>
        <v>764050</v>
      </c>
      <c r="B1411" t="s">
        <v>2760</v>
      </c>
      <c r="C1411" t="s">
        <v>2761</v>
      </c>
    </row>
    <row r="1412" spans="1:3" x14ac:dyDescent="0.25">
      <c r="A1412" t="str">
        <f>"764051"</f>
        <v>764051</v>
      </c>
      <c r="B1412" t="s">
        <v>2762</v>
      </c>
      <c r="C1412" t="s">
        <v>2763</v>
      </c>
    </row>
    <row r="1413" spans="1:3" x14ac:dyDescent="0.25">
      <c r="A1413" t="str">
        <f>"764052"</f>
        <v>764052</v>
      </c>
      <c r="B1413" t="s">
        <v>2764</v>
      </c>
      <c r="C1413" t="s">
        <v>2765</v>
      </c>
    </row>
    <row r="1414" spans="1:3" x14ac:dyDescent="0.25">
      <c r="A1414" t="str">
        <f>"764053"</f>
        <v>764053</v>
      </c>
      <c r="B1414" t="s">
        <v>2766</v>
      </c>
      <c r="C1414" t="s">
        <v>2767</v>
      </c>
    </row>
    <row r="1415" spans="1:3" x14ac:dyDescent="0.25">
      <c r="A1415" t="str">
        <f>"764054"</f>
        <v>764054</v>
      </c>
      <c r="B1415" t="s">
        <v>2768</v>
      </c>
      <c r="C1415" t="s">
        <v>2769</v>
      </c>
    </row>
    <row r="1416" spans="1:3" x14ac:dyDescent="0.25">
      <c r="A1416" t="str">
        <f>"764055"</f>
        <v>764055</v>
      </c>
      <c r="B1416" t="s">
        <v>2770</v>
      </c>
      <c r="C1416" t="s">
        <v>2771</v>
      </c>
    </row>
    <row r="1417" spans="1:3" x14ac:dyDescent="0.25">
      <c r="A1417" t="str">
        <f>"764056"</f>
        <v>764056</v>
      </c>
      <c r="B1417" t="s">
        <v>2772</v>
      </c>
      <c r="C1417" t="s">
        <v>2773</v>
      </c>
    </row>
    <row r="1418" spans="1:3" x14ac:dyDescent="0.25">
      <c r="A1418" t="str">
        <f>"764057"</f>
        <v>764057</v>
      </c>
      <c r="B1418" t="s">
        <v>2774</v>
      </c>
      <c r="C1418" t="s">
        <v>2775</v>
      </c>
    </row>
    <row r="1419" spans="1:3" x14ac:dyDescent="0.25">
      <c r="A1419" t="str">
        <f>"764058"</f>
        <v>764058</v>
      </c>
      <c r="B1419" t="s">
        <v>2776</v>
      </c>
      <c r="C1419" t="s">
        <v>2777</v>
      </c>
    </row>
    <row r="1420" spans="1:3" x14ac:dyDescent="0.25">
      <c r="A1420" t="str">
        <f>"764059"</f>
        <v>764059</v>
      </c>
      <c r="B1420" t="s">
        <v>2778</v>
      </c>
      <c r="C1420" t="s">
        <v>2779</v>
      </c>
    </row>
    <row r="1421" spans="1:3" x14ac:dyDescent="0.25">
      <c r="A1421" t="str">
        <f>"764060"</f>
        <v>764060</v>
      </c>
      <c r="B1421" t="s">
        <v>2780</v>
      </c>
      <c r="C1421" t="s">
        <v>2781</v>
      </c>
    </row>
    <row r="1422" spans="1:3" x14ac:dyDescent="0.25">
      <c r="A1422" t="str">
        <f>"764061"</f>
        <v>764061</v>
      </c>
      <c r="B1422" t="s">
        <v>2782</v>
      </c>
      <c r="C1422" t="s">
        <v>2783</v>
      </c>
    </row>
    <row r="1423" spans="1:3" x14ac:dyDescent="0.25">
      <c r="A1423" t="str">
        <f>"764062"</f>
        <v>764062</v>
      </c>
      <c r="B1423" t="s">
        <v>2784</v>
      </c>
      <c r="C1423" t="s">
        <v>2785</v>
      </c>
    </row>
    <row r="1424" spans="1:3" x14ac:dyDescent="0.25">
      <c r="A1424" t="str">
        <f>"764063"</f>
        <v>764063</v>
      </c>
      <c r="B1424" t="s">
        <v>2786</v>
      </c>
      <c r="C1424" t="s">
        <v>2787</v>
      </c>
    </row>
    <row r="1425" spans="1:3" x14ac:dyDescent="0.25">
      <c r="A1425" t="str">
        <f>"764064"</f>
        <v>764064</v>
      </c>
      <c r="B1425" t="s">
        <v>2788</v>
      </c>
      <c r="C1425" t="s">
        <v>2789</v>
      </c>
    </row>
    <row r="1426" spans="1:3" x14ac:dyDescent="0.25">
      <c r="A1426" t="str">
        <f>"764065"</f>
        <v>764065</v>
      </c>
      <c r="B1426" t="s">
        <v>2790</v>
      </c>
      <c r="C1426" t="s">
        <v>2791</v>
      </c>
    </row>
    <row r="1427" spans="1:3" x14ac:dyDescent="0.25">
      <c r="A1427" t="str">
        <f>"764066"</f>
        <v>764066</v>
      </c>
      <c r="B1427" t="s">
        <v>2792</v>
      </c>
      <c r="C1427" t="s">
        <v>2793</v>
      </c>
    </row>
    <row r="1428" spans="1:3" x14ac:dyDescent="0.25">
      <c r="A1428" t="str">
        <f>"764067"</f>
        <v>764067</v>
      </c>
      <c r="B1428" t="s">
        <v>2794</v>
      </c>
      <c r="C1428" t="s">
        <v>2795</v>
      </c>
    </row>
    <row r="1429" spans="1:3" x14ac:dyDescent="0.25">
      <c r="A1429" t="str">
        <f>"764068"</f>
        <v>764068</v>
      </c>
      <c r="B1429" t="s">
        <v>2796</v>
      </c>
      <c r="C1429" t="s">
        <v>2797</v>
      </c>
    </row>
    <row r="1430" spans="1:3" x14ac:dyDescent="0.25">
      <c r="A1430" t="str">
        <f>"764069"</f>
        <v>764069</v>
      </c>
      <c r="B1430" t="s">
        <v>2798</v>
      </c>
      <c r="C1430" t="s">
        <v>2799</v>
      </c>
    </row>
    <row r="1431" spans="1:3" x14ac:dyDescent="0.25">
      <c r="A1431" t="str">
        <f>"764070"</f>
        <v>764070</v>
      </c>
      <c r="B1431" t="s">
        <v>2800</v>
      </c>
      <c r="C1431" t="s">
        <v>2801</v>
      </c>
    </row>
    <row r="1432" spans="1:3" x14ac:dyDescent="0.25">
      <c r="A1432" t="str">
        <f>"764071"</f>
        <v>764071</v>
      </c>
      <c r="B1432" t="s">
        <v>2802</v>
      </c>
      <c r="C1432" t="s">
        <v>2803</v>
      </c>
    </row>
    <row r="1433" spans="1:3" x14ac:dyDescent="0.25">
      <c r="A1433" t="str">
        <f>"764072"</f>
        <v>764072</v>
      </c>
      <c r="B1433" t="s">
        <v>2804</v>
      </c>
      <c r="C1433" t="s">
        <v>2805</v>
      </c>
    </row>
    <row r="1434" spans="1:3" x14ac:dyDescent="0.25">
      <c r="A1434" t="str">
        <f>"764073"</f>
        <v>764073</v>
      </c>
      <c r="B1434" t="s">
        <v>2806</v>
      </c>
      <c r="C1434" t="s">
        <v>2807</v>
      </c>
    </row>
    <row r="1435" spans="1:3" x14ac:dyDescent="0.25">
      <c r="A1435" t="str">
        <f>"764074"</f>
        <v>764074</v>
      </c>
      <c r="B1435" t="s">
        <v>2808</v>
      </c>
      <c r="C1435" t="s">
        <v>2809</v>
      </c>
    </row>
    <row r="1436" spans="1:3" x14ac:dyDescent="0.25">
      <c r="A1436" t="str">
        <f>"764075"</f>
        <v>764075</v>
      </c>
      <c r="B1436" t="s">
        <v>2810</v>
      </c>
      <c r="C1436" t="s">
        <v>2811</v>
      </c>
    </row>
    <row r="1437" spans="1:3" x14ac:dyDescent="0.25">
      <c r="A1437" t="str">
        <f>"764076"</f>
        <v>764076</v>
      </c>
      <c r="B1437" t="s">
        <v>2812</v>
      </c>
      <c r="C1437" t="s">
        <v>2813</v>
      </c>
    </row>
    <row r="1438" spans="1:3" x14ac:dyDescent="0.25">
      <c r="A1438" t="str">
        <f>"764077"</f>
        <v>764077</v>
      </c>
      <c r="B1438" t="s">
        <v>2814</v>
      </c>
      <c r="C1438" t="s">
        <v>2815</v>
      </c>
    </row>
    <row r="1439" spans="1:3" x14ac:dyDescent="0.25">
      <c r="A1439" t="str">
        <f>"764078"</f>
        <v>764078</v>
      </c>
      <c r="B1439" t="s">
        <v>2816</v>
      </c>
      <c r="C1439" t="s">
        <v>2817</v>
      </c>
    </row>
    <row r="1440" spans="1:3" x14ac:dyDescent="0.25">
      <c r="A1440" t="str">
        <f>"764079"</f>
        <v>764079</v>
      </c>
      <c r="B1440" t="s">
        <v>2818</v>
      </c>
      <c r="C1440" t="s">
        <v>2819</v>
      </c>
    </row>
    <row r="1441" spans="1:3" x14ac:dyDescent="0.25">
      <c r="A1441" t="str">
        <f>"764080"</f>
        <v>764080</v>
      </c>
      <c r="B1441" t="s">
        <v>2820</v>
      </c>
      <c r="C1441" t="s">
        <v>2821</v>
      </c>
    </row>
    <row r="1442" spans="1:3" x14ac:dyDescent="0.25">
      <c r="A1442" t="str">
        <f>"764081"</f>
        <v>764081</v>
      </c>
      <c r="B1442" t="s">
        <v>2822</v>
      </c>
      <c r="C1442" t="s">
        <v>2823</v>
      </c>
    </row>
    <row r="1443" spans="1:3" x14ac:dyDescent="0.25">
      <c r="A1443" t="str">
        <f>"764082"</f>
        <v>764082</v>
      </c>
      <c r="B1443" t="s">
        <v>2824</v>
      </c>
      <c r="C1443" t="s">
        <v>2825</v>
      </c>
    </row>
    <row r="1444" spans="1:3" x14ac:dyDescent="0.25">
      <c r="A1444" t="str">
        <f>"764083"</f>
        <v>764083</v>
      </c>
      <c r="B1444" t="s">
        <v>2826</v>
      </c>
      <c r="C1444" t="s">
        <v>2827</v>
      </c>
    </row>
    <row r="1445" spans="1:3" x14ac:dyDescent="0.25">
      <c r="A1445" t="str">
        <f>"764084"</f>
        <v>764084</v>
      </c>
      <c r="B1445" t="s">
        <v>2828</v>
      </c>
      <c r="C1445" t="s">
        <v>2829</v>
      </c>
    </row>
    <row r="1446" spans="1:3" x14ac:dyDescent="0.25">
      <c r="A1446" t="str">
        <f>"764085"</f>
        <v>764085</v>
      </c>
      <c r="B1446" t="s">
        <v>2830</v>
      </c>
      <c r="C1446" t="s">
        <v>2831</v>
      </c>
    </row>
    <row r="1447" spans="1:3" x14ac:dyDescent="0.25">
      <c r="A1447" t="str">
        <f>"764086"</f>
        <v>764086</v>
      </c>
      <c r="B1447" t="s">
        <v>2832</v>
      </c>
      <c r="C1447" t="s">
        <v>2833</v>
      </c>
    </row>
    <row r="1448" spans="1:3" x14ac:dyDescent="0.25">
      <c r="A1448" t="str">
        <f>"764087"</f>
        <v>764087</v>
      </c>
      <c r="B1448" t="s">
        <v>2834</v>
      </c>
      <c r="C1448" t="s">
        <v>2835</v>
      </c>
    </row>
    <row r="1449" spans="1:3" x14ac:dyDescent="0.25">
      <c r="A1449" t="str">
        <f>"764088"</f>
        <v>764088</v>
      </c>
      <c r="B1449" t="s">
        <v>2836</v>
      </c>
      <c r="C1449" t="s">
        <v>2837</v>
      </c>
    </row>
    <row r="1450" spans="1:3" x14ac:dyDescent="0.25">
      <c r="A1450" t="str">
        <f>"764089"</f>
        <v>764089</v>
      </c>
      <c r="B1450" t="s">
        <v>2838</v>
      </c>
      <c r="C1450" t="s">
        <v>2839</v>
      </c>
    </row>
    <row r="1451" spans="1:3" x14ac:dyDescent="0.25">
      <c r="A1451" t="str">
        <f>"764090"</f>
        <v>764090</v>
      </c>
      <c r="B1451" t="s">
        <v>2840</v>
      </c>
      <c r="C1451" t="s">
        <v>2841</v>
      </c>
    </row>
    <row r="1452" spans="1:3" x14ac:dyDescent="0.25">
      <c r="A1452" t="str">
        <f>"764091"</f>
        <v>764091</v>
      </c>
      <c r="B1452" t="s">
        <v>2842</v>
      </c>
      <c r="C1452" t="s">
        <v>2843</v>
      </c>
    </row>
    <row r="1453" spans="1:3" x14ac:dyDescent="0.25">
      <c r="A1453" t="str">
        <f>"764092"</f>
        <v>764092</v>
      </c>
      <c r="B1453" t="s">
        <v>2844</v>
      </c>
      <c r="C1453" t="s">
        <v>2845</v>
      </c>
    </row>
    <row r="1454" spans="1:3" x14ac:dyDescent="0.25">
      <c r="A1454" t="str">
        <f>"764093"</f>
        <v>764093</v>
      </c>
      <c r="B1454" t="s">
        <v>2846</v>
      </c>
      <c r="C1454" t="s">
        <v>2847</v>
      </c>
    </row>
    <row r="1455" spans="1:3" x14ac:dyDescent="0.25">
      <c r="A1455" t="str">
        <f>"764094"</f>
        <v>764094</v>
      </c>
      <c r="B1455" t="s">
        <v>2848</v>
      </c>
      <c r="C1455" t="s">
        <v>2849</v>
      </c>
    </row>
    <row r="1456" spans="1:3" x14ac:dyDescent="0.25">
      <c r="A1456" t="str">
        <f>"764095"</f>
        <v>764095</v>
      </c>
      <c r="B1456" t="s">
        <v>2850</v>
      </c>
      <c r="C1456" t="s">
        <v>2851</v>
      </c>
    </row>
    <row r="1457" spans="1:3" x14ac:dyDescent="0.25">
      <c r="A1457" t="str">
        <f>"764096"</f>
        <v>764096</v>
      </c>
      <c r="B1457" t="s">
        <v>2852</v>
      </c>
      <c r="C1457" t="s">
        <v>2853</v>
      </c>
    </row>
    <row r="1458" spans="1:3" x14ac:dyDescent="0.25">
      <c r="A1458" t="str">
        <f>"764097"</f>
        <v>764097</v>
      </c>
      <c r="B1458" t="s">
        <v>2854</v>
      </c>
      <c r="C1458" t="s">
        <v>2855</v>
      </c>
    </row>
    <row r="1459" spans="1:3" x14ac:dyDescent="0.25">
      <c r="A1459" t="str">
        <f>"764098"</f>
        <v>764098</v>
      </c>
      <c r="B1459" t="s">
        <v>2856</v>
      </c>
      <c r="C1459" t="s">
        <v>2857</v>
      </c>
    </row>
    <row r="1460" spans="1:3" x14ac:dyDescent="0.25">
      <c r="A1460" t="str">
        <f>"764099"</f>
        <v>764099</v>
      </c>
      <c r="B1460" t="s">
        <v>2858</v>
      </c>
      <c r="C1460" t="s">
        <v>2859</v>
      </c>
    </row>
    <row r="1461" spans="1:3" x14ac:dyDescent="0.25">
      <c r="A1461" t="str">
        <f>"764100"</f>
        <v>764100</v>
      </c>
      <c r="B1461" t="s">
        <v>2860</v>
      </c>
      <c r="C1461" t="s">
        <v>2861</v>
      </c>
    </row>
    <row r="1462" spans="1:3" x14ac:dyDescent="0.25">
      <c r="A1462" t="str">
        <f>"764101"</f>
        <v>764101</v>
      </c>
      <c r="B1462" t="s">
        <v>2862</v>
      </c>
      <c r="C1462" t="s">
        <v>2863</v>
      </c>
    </row>
    <row r="1463" spans="1:3" x14ac:dyDescent="0.25">
      <c r="A1463" t="str">
        <f>"764102"</f>
        <v>764102</v>
      </c>
      <c r="B1463" t="s">
        <v>2864</v>
      </c>
      <c r="C1463" t="s">
        <v>2865</v>
      </c>
    </row>
    <row r="1464" spans="1:3" x14ac:dyDescent="0.25">
      <c r="A1464" t="str">
        <f>"764103"</f>
        <v>764103</v>
      </c>
      <c r="B1464" t="s">
        <v>2866</v>
      </c>
      <c r="C1464" t="s">
        <v>2867</v>
      </c>
    </row>
    <row r="1465" spans="1:3" x14ac:dyDescent="0.25">
      <c r="A1465" t="str">
        <f>"764104"</f>
        <v>764104</v>
      </c>
      <c r="B1465" t="s">
        <v>2868</v>
      </c>
      <c r="C1465" t="s">
        <v>2869</v>
      </c>
    </row>
    <row r="1466" spans="1:3" x14ac:dyDescent="0.25">
      <c r="A1466" t="str">
        <f>"764105"</f>
        <v>764105</v>
      </c>
      <c r="B1466" t="s">
        <v>2870</v>
      </c>
      <c r="C1466" t="s">
        <v>2871</v>
      </c>
    </row>
    <row r="1467" spans="1:3" x14ac:dyDescent="0.25">
      <c r="A1467" t="str">
        <f>"764106"</f>
        <v>764106</v>
      </c>
      <c r="B1467" t="s">
        <v>2872</v>
      </c>
      <c r="C1467" t="s">
        <v>2873</v>
      </c>
    </row>
    <row r="1468" spans="1:3" x14ac:dyDescent="0.25">
      <c r="A1468" t="str">
        <f>"764107"</f>
        <v>764107</v>
      </c>
      <c r="B1468" t="s">
        <v>2874</v>
      </c>
      <c r="C1468" t="s">
        <v>2875</v>
      </c>
    </row>
    <row r="1469" spans="1:3" x14ac:dyDescent="0.25">
      <c r="A1469" t="str">
        <f>"764108"</f>
        <v>764108</v>
      </c>
      <c r="B1469" t="s">
        <v>2876</v>
      </c>
      <c r="C1469" t="s">
        <v>2877</v>
      </c>
    </row>
    <row r="1470" spans="1:3" x14ac:dyDescent="0.25">
      <c r="A1470" t="str">
        <f>"764109"</f>
        <v>764109</v>
      </c>
      <c r="B1470" t="s">
        <v>2878</v>
      </c>
      <c r="C1470" t="s">
        <v>2879</v>
      </c>
    </row>
    <row r="1471" spans="1:3" x14ac:dyDescent="0.25">
      <c r="A1471" t="str">
        <f>"764110"</f>
        <v>764110</v>
      </c>
      <c r="B1471" t="s">
        <v>2880</v>
      </c>
      <c r="C1471" t="s">
        <v>2881</v>
      </c>
    </row>
    <row r="1472" spans="1:3" x14ac:dyDescent="0.25">
      <c r="A1472" t="str">
        <f>"764111"</f>
        <v>764111</v>
      </c>
      <c r="B1472" t="s">
        <v>2882</v>
      </c>
      <c r="C1472" t="s">
        <v>2883</v>
      </c>
    </row>
    <row r="1473" spans="1:3" x14ac:dyDescent="0.25">
      <c r="A1473" t="str">
        <f>"764112"</f>
        <v>764112</v>
      </c>
      <c r="B1473" t="s">
        <v>2884</v>
      </c>
      <c r="C1473" t="s">
        <v>2885</v>
      </c>
    </row>
    <row r="1474" spans="1:3" x14ac:dyDescent="0.25">
      <c r="A1474" t="str">
        <f>"764113"</f>
        <v>764113</v>
      </c>
      <c r="B1474" t="s">
        <v>2886</v>
      </c>
      <c r="C1474" t="s">
        <v>2887</v>
      </c>
    </row>
    <row r="1475" spans="1:3" x14ac:dyDescent="0.25">
      <c r="A1475" t="str">
        <f>"764114"</f>
        <v>764114</v>
      </c>
      <c r="B1475" t="s">
        <v>2888</v>
      </c>
      <c r="C1475" t="s">
        <v>2889</v>
      </c>
    </row>
    <row r="1476" spans="1:3" x14ac:dyDescent="0.25">
      <c r="A1476" t="str">
        <f>"764115"</f>
        <v>764115</v>
      </c>
      <c r="B1476" t="s">
        <v>2890</v>
      </c>
      <c r="C1476" t="s">
        <v>2891</v>
      </c>
    </row>
    <row r="1477" spans="1:3" x14ac:dyDescent="0.25">
      <c r="A1477" t="str">
        <f>"764116"</f>
        <v>764116</v>
      </c>
      <c r="B1477" t="s">
        <v>2892</v>
      </c>
      <c r="C1477" t="s">
        <v>2893</v>
      </c>
    </row>
    <row r="1478" spans="1:3" x14ac:dyDescent="0.25">
      <c r="A1478" t="str">
        <f>"764117"</f>
        <v>764117</v>
      </c>
      <c r="B1478" t="s">
        <v>2894</v>
      </c>
      <c r="C1478" t="s">
        <v>2895</v>
      </c>
    </row>
    <row r="1479" spans="1:3" x14ac:dyDescent="0.25">
      <c r="A1479" t="str">
        <f>"764118"</f>
        <v>764118</v>
      </c>
      <c r="B1479" t="s">
        <v>2896</v>
      </c>
      <c r="C1479" t="s">
        <v>2897</v>
      </c>
    </row>
    <row r="1480" spans="1:3" x14ac:dyDescent="0.25">
      <c r="A1480" t="str">
        <f>"764119"</f>
        <v>764119</v>
      </c>
      <c r="B1480" t="s">
        <v>2898</v>
      </c>
      <c r="C1480" t="s">
        <v>2899</v>
      </c>
    </row>
    <row r="1481" spans="1:3" x14ac:dyDescent="0.25">
      <c r="A1481" t="str">
        <f>"764120"</f>
        <v>764120</v>
      </c>
      <c r="B1481" t="s">
        <v>2900</v>
      </c>
      <c r="C1481" t="s">
        <v>2901</v>
      </c>
    </row>
    <row r="1482" spans="1:3" x14ac:dyDescent="0.25">
      <c r="A1482" t="str">
        <f>"764121"</f>
        <v>764121</v>
      </c>
      <c r="B1482" t="s">
        <v>2902</v>
      </c>
      <c r="C1482" t="s">
        <v>2903</v>
      </c>
    </row>
    <row r="1483" spans="1:3" x14ac:dyDescent="0.25">
      <c r="A1483" t="str">
        <f>"764122"</f>
        <v>764122</v>
      </c>
      <c r="B1483" t="s">
        <v>2904</v>
      </c>
      <c r="C1483" t="s">
        <v>2905</v>
      </c>
    </row>
    <row r="1484" spans="1:3" x14ac:dyDescent="0.25">
      <c r="A1484" t="str">
        <f>"764123"</f>
        <v>764123</v>
      </c>
      <c r="B1484" t="s">
        <v>2906</v>
      </c>
      <c r="C1484" t="s">
        <v>2907</v>
      </c>
    </row>
    <row r="1485" spans="1:3" x14ac:dyDescent="0.25">
      <c r="A1485" t="str">
        <f>"764124"</f>
        <v>764124</v>
      </c>
      <c r="B1485" t="s">
        <v>2908</v>
      </c>
      <c r="C1485" t="s">
        <v>2909</v>
      </c>
    </row>
    <row r="1486" spans="1:3" x14ac:dyDescent="0.25">
      <c r="A1486" t="str">
        <f>"764125"</f>
        <v>764125</v>
      </c>
      <c r="B1486" t="s">
        <v>2910</v>
      </c>
      <c r="C1486" t="s">
        <v>2911</v>
      </c>
    </row>
    <row r="1487" spans="1:3" x14ac:dyDescent="0.25">
      <c r="A1487" t="str">
        <f>"764126"</f>
        <v>764126</v>
      </c>
      <c r="B1487" t="s">
        <v>2912</v>
      </c>
      <c r="C1487" t="s">
        <v>2913</v>
      </c>
    </row>
    <row r="1488" spans="1:3" x14ac:dyDescent="0.25">
      <c r="A1488" t="str">
        <f>"764127"</f>
        <v>764127</v>
      </c>
      <c r="B1488" t="s">
        <v>2914</v>
      </c>
      <c r="C1488" t="s">
        <v>2915</v>
      </c>
    </row>
    <row r="1489" spans="1:3" x14ac:dyDescent="0.25">
      <c r="A1489" t="str">
        <f>"764128"</f>
        <v>764128</v>
      </c>
      <c r="B1489" t="s">
        <v>2916</v>
      </c>
      <c r="C1489" t="s">
        <v>2917</v>
      </c>
    </row>
    <row r="1490" spans="1:3" x14ac:dyDescent="0.25">
      <c r="A1490" t="str">
        <f>"764129"</f>
        <v>764129</v>
      </c>
      <c r="B1490" t="s">
        <v>2918</v>
      </c>
      <c r="C1490" t="s">
        <v>2919</v>
      </c>
    </row>
    <row r="1491" spans="1:3" x14ac:dyDescent="0.25">
      <c r="A1491" t="str">
        <f>"764130"</f>
        <v>764130</v>
      </c>
      <c r="B1491" t="s">
        <v>2920</v>
      </c>
      <c r="C1491" t="s">
        <v>2921</v>
      </c>
    </row>
    <row r="1492" spans="1:3" x14ac:dyDescent="0.25">
      <c r="A1492" t="str">
        <f>"764131"</f>
        <v>764131</v>
      </c>
      <c r="B1492" t="s">
        <v>2922</v>
      </c>
      <c r="C1492" t="s">
        <v>2923</v>
      </c>
    </row>
    <row r="1493" spans="1:3" x14ac:dyDescent="0.25">
      <c r="A1493" t="str">
        <f>"764132"</f>
        <v>764132</v>
      </c>
      <c r="B1493" t="s">
        <v>2924</v>
      </c>
      <c r="C1493" t="s">
        <v>2925</v>
      </c>
    </row>
    <row r="1494" spans="1:3" x14ac:dyDescent="0.25">
      <c r="A1494" t="str">
        <f>"764133"</f>
        <v>764133</v>
      </c>
      <c r="B1494" t="s">
        <v>2926</v>
      </c>
      <c r="C1494" t="s">
        <v>2927</v>
      </c>
    </row>
    <row r="1495" spans="1:3" x14ac:dyDescent="0.25">
      <c r="A1495" t="str">
        <f>"764134"</f>
        <v>764134</v>
      </c>
      <c r="B1495" t="s">
        <v>2928</v>
      </c>
      <c r="C1495" t="s">
        <v>2929</v>
      </c>
    </row>
    <row r="1496" spans="1:3" x14ac:dyDescent="0.25">
      <c r="A1496" t="str">
        <f>"764135"</f>
        <v>764135</v>
      </c>
      <c r="B1496" t="s">
        <v>2930</v>
      </c>
      <c r="C1496" t="s">
        <v>2931</v>
      </c>
    </row>
    <row r="1497" spans="1:3" x14ac:dyDescent="0.25">
      <c r="A1497" t="str">
        <f>"764136"</f>
        <v>764136</v>
      </c>
      <c r="B1497" t="s">
        <v>2932</v>
      </c>
      <c r="C1497" t="s">
        <v>2933</v>
      </c>
    </row>
    <row r="1498" spans="1:3" x14ac:dyDescent="0.25">
      <c r="A1498" t="str">
        <f>"764137"</f>
        <v>764137</v>
      </c>
      <c r="B1498" t="s">
        <v>2934</v>
      </c>
      <c r="C1498" t="s">
        <v>2935</v>
      </c>
    </row>
    <row r="1499" spans="1:3" x14ac:dyDescent="0.25">
      <c r="A1499" t="str">
        <f>"764138"</f>
        <v>764138</v>
      </c>
      <c r="B1499" t="s">
        <v>2936</v>
      </c>
      <c r="C1499" t="s">
        <v>2937</v>
      </c>
    </row>
    <row r="1500" spans="1:3" x14ac:dyDescent="0.25">
      <c r="A1500" t="str">
        <f>"764139"</f>
        <v>764139</v>
      </c>
      <c r="B1500" t="s">
        <v>2938</v>
      </c>
      <c r="C1500" t="s">
        <v>2939</v>
      </c>
    </row>
    <row r="1501" spans="1:3" x14ac:dyDescent="0.25">
      <c r="A1501" t="str">
        <f>"764140"</f>
        <v>764140</v>
      </c>
      <c r="B1501" t="s">
        <v>2940</v>
      </c>
      <c r="C1501" t="s">
        <v>2941</v>
      </c>
    </row>
    <row r="1502" spans="1:3" x14ac:dyDescent="0.25">
      <c r="A1502" t="str">
        <f>"764141"</f>
        <v>764141</v>
      </c>
      <c r="B1502" t="s">
        <v>2942</v>
      </c>
      <c r="C1502" t="s">
        <v>2943</v>
      </c>
    </row>
    <row r="1503" spans="1:3" x14ac:dyDescent="0.25">
      <c r="A1503" t="str">
        <f>"764142"</f>
        <v>764142</v>
      </c>
      <c r="B1503" t="s">
        <v>2944</v>
      </c>
      <c r="C1503" t="s">
        <v>2945</v>
      </c>
    </row>
    <row r="1504" spans="1:3" x14ac:dyDescent="0.25">
      <c r="A1504" t="str">
        <f>"764143"</f>
        <v>764143</v>
      </c>
      <c r="B1504" t="s">
        <v>2946</v>
      </c>
      <c r="C1504" t="s">
        <v>2947</v>
      </c>
    </row>
    <row r="1505" spans="1:3" x14ac:dyDescent="0.25">
      <c r="A1505" t="str">
        <f>"764144"</f>
        <v>764144</v>
      </c>
      <c r="B1505" t="s">
        <v>2948</v>
      </c>
      <c r="C1505" t="s">
        <v>2949</v>
      </c>
    </row>
    <row r="1506" spans="1:3" x14ac:dyDescent="0.25">
      <c r="A1506" t="str">
        <f>"764145"</f>
        <v>764145</v>
      </c>
      <c r="B1506" t="s">
        <v>2950</v>
      </c>
      <c r="C1506" t="s">
        <v>2951</v>
      </c>
    </row>
    <row r="1507" spans="1:3" x14ac:dyDescent="0.25">
      <c r="A1507" t="str">
        <f>"764146"</f>
        <v>764146</v>
      </c>
      <c r="B1507" t="s">
        <v>2952</v>
      </c>
      <c r="C1507" t="s">
        <v>2953</v>
      </c>
    </row>
    <row r="1508" spans="1:3" x14ac:dyDescent="0.25">
      <c r="A1508" t="str">
        <f>"764147"</f>
        <v>764147</v>
      </c>
      <c r="B1508" t="s">
        <v>2954</v>
      </c>
      <c r="C1508" t="s">
        <v>2955</v>
      </c>
    </row>
    <row r="1509" spans="1:3" x14ac:dyDescent="0.25">
      <c r="A1509" t="str">
        <f>"764148"</f>
        <v>764148</v>
      </c>
      <c r="B1509" t="s">
        <v>2956</v>
      </c>
      <c r="C1509" t="s">
        <v>2957</v>
      </c>
    </row>
    <row r="1510" spans="1:3" x14ac:dyDescent="0.25">
      <c r="A1510" t="str">
        <f>"764149"</f>
        <v>764149</v>
      </c>
      <c r="B1510" t="s">
        <v>2958</v>
      </c>
      <c r="C1510" t="s">
        <v>2959</v>
      </c>
    </row>
    <row r="1511" spans="1:3" x14ac:dyDescent="0.25">
      <c r="A1511" t="str">
        <f>"764150"</f>
        <v>764150</v>
      </c>
      <c r="B1511" t="s">
        <v>2960</v>
      </c>
      <c r="C1511" t="s">
        <v>2961</v>
      </c>
    </row>
    <row r="1512" spans="1:3" x14ac:dyDescent="0.25">
      <c r="A1512" t="str">
        <f>"764151"</f>
        <v>764151</v>
      </c>
      <c r="B1512" t="s">
        <v>2962</v>
      </c>
      <c r="C1512" t="s">
        <v>2963</v>
      </c>
    </row>
    <row r="1513" spans="1:3" x14ac:dyDescent="0.25">
      <c r="A1513" t="str">
        <f>"764152"</f>
        <v>764152</v>
      </c>
      <c r="B1513" t="s">
        <v>2964</v>
      </c>
      <c r="C1513" t="s">
        <v>2965</v>
      </c>
    </row>
    <row r="1514" spans="1:3" x14ac:dyDescent="0.25">
      <c r="A1514" t="str">
        <f>"764153"</f>
        <v>764153</v>
      </c>
      <c r="B1514" t="s">
        <v>2966</v>
      </c>
      <c r="C1514" t="s">
        <v>2967</v>
      </c>
    </row>
    <row r="1515" spans="1:3" x14ac:dyDescent="0.25">
      <c r="A1515" t="str">
        <f>"764154"</f>
        <v>764154</v>
      </c>
      <c r="B1515" t="s">
        <v>2968</v>
      </c>
      <c r="C1515" t="s">
        <v>2969</v>
      </c>
    </row>
    <row r="1516" spans="1:3" x14ac:dyDescent="0.25">
      <c r="A1516" t="str">
        <f>"764155"</f>
        <v>764155</v>
      </c>
      <c r="B1516" t="s">
        <v>2970</v>
      </c>
      <c r="C1516" t="s">
        <v>2971</v>
      </c>
    </row>
    <row r="1517" spans="1:3" x14ac:dyDescent="0.25">
      <c r="A1517" t="str">
        <f>"764156"</f>
        <v>764156</v>
      </c>
      <c r="B1517" t="s">
        <v>2972</v>
      </c>
      <c r="C1517" t="s">
        <v>2973</v>
      </c>
    </row>
    <row r="1518" spans="1:3" x14ac:dyDescent="0.25">
      <c r="A1518" t="str">
        <f>"764157"</f>
        <v>764157</v>
      </c>
      <c r="B1518" t="s">
        <v>2974</v>
      </c>
      <c r="C1518" t="s">
        <v>2975</v>
      </c>
    </row>
    <row r="1519" spans="1:3" x14ac:dyDescent="0.25">
      <c r="A1519" t="str">
        <f>"764158"</f>
        <v>764158</v>
      </c>
      <c r="B1519" t="s">
        <v>2976</v>
      </c>
      <c r="C1519" t="s">
        <v>2977</v>
      </c>
    </row>
    <row r="1520" spans="1:3" x14ac:dyDescent="0.25">
      <c r="A1520" t="str">
        <f>"767027"</f>
        <v>767027</v>
      </c>
      <c r="B1520" t="s">
        <v>2978</v>
      </c>
      <c r="C1520" t="s">
        <v>2979</v>
      </c>
    </row>
    <row r="1521" spans="1:3" x14ac:dyDescent="0.25">
      <c r="A1521" t="str">
        <f>"767028"</f>
        <v>767028</v>
      </c>
      <c r="B1521" t="s">
        <v>2980</v>
      </c>
      <c r="C1521" t="s">
        <v>2981</v>
      </c>
    </row>
    <row r="1522" spans="1:3" x14ac:dyDescent="0.25">
      <c r="A1522" t="str">
        <f>"767035"</f>
        <v>767035</v>
      </c>
      <c r="B1522" t="s">
        <v>2982</v>
      </c>
      <c r="C1522" t="s">
        <v>2983</v>
      </c>
    </row>
    <row r="1523" spans="1:3" x14ac:dyDescent="0.25">
      <c r="A1523" t="str">
        <f>"767029"</f>
        <v>767029</v>
      </c>
      <c r="B1523" t="s">
        <v>2984</v>
      </c>
      <c r="C1523" t="s">
        <v>2985</v>
      </c>
    </row>
    <row r="1524" spans="1:3" x14ac:dyDescent="0.25">
      <c r="A1524" t="str">
        <f>"767030"</f>
        <v>767030</v>
      </c>
      <c r="B1524" t="s">
        <v>2986</v>
      </c>
      <c r="C1524" t="s">
        <v>2987</v>
      </c>
    </row>
    <row r="1525" spans="1:3" x14ac:dyDescent="0.25">
      <c r="A1525" t="str">
        <f>"767031"</f>
        <v>767031</v>
      </c>
      <c r="B1525" t="s">
        <v>2988</v>
      </c>
      <c r="C1525" t="s">
        <v>2989</v>
      </c>
    </row>
    <row r="1526" spans="1:3" x14ac:dyDescent="0.25">
      <c r="A1526" t="str">
        <f>"767032"</f>
        <v>767032</v>
      </c>
      <c r="B1526" t="s">
        <v>2990</v>
      </c>
      <c r="C1526" t="s">
        <v>2991</v>
      </c>
    </row>
    <row r="1527" spans="1:3" x14ac:dyDescent="0.25">
      <c r="A1527" t="str">
        <f>"767033"</f>
        <v>767033</v>
      </c>
      <c r="B1527" t="s">
        <v>2992</v>
      </c>
      <c r="C1527" t="s">
        <v>2993</v>
      </c>
    </row>
    <row r="1528" spans="1:3" x14ac:dyDescent="0.25">
      <c r="A1528" t="str">
        <f>"767034"</f>
        <v>767034</v>
      </c>
      <c r="B1528" t="s">
        <v>2994</v>
      </c>
      <c r="C1528" t="s">
        <v>2995</v>
      </c>
    </row>
    <row r="1529" spans="1:3" x14ac:dyDescent="0.25">
      <c r="A1529" t="str">
        <f>"767036"</f>
        <v>767036</v>
      </c>
      <c r="B1529" t="s">
        <v>2996</v>
      </c>
      <c r="C1529" t="s">
        <v>2997</v>
      </c>
    </row>
    <row r="1530" spans="1:3" x14ac:dyDescent="0.25">
      <c r="A1530" t="str">
        <f>"767037"</f>
        <v>767037</v>
      </c>
      <c r="B1530" t="s">
        <v>2998</v>
      </c>
      <c r="C1530" t="s">
        <v>2999</v>
      </c>
    </row>
    <row r="1531" spans="1:3" x14ac:dyDescent="0.25">
      <c r="A1531" t="str">
        <f>"767038"</f>
        <v>767038</v>
      </c>
      <c r="B1531" t="s">
        <v>3000</v>
      </c>
      <c r="C1531" t="s">
        <v>3001</v>
      </c>
    </row>
    <row r="1532" spans="1:3" x14ac:dyDescent="0.25">
      <c r="A1532" t="str">
        <f>"767039"</f>
        <v>767039</v>
      </c>
      <c r="B1532" t="s">
        <v>3002</v>
      </c>
      <c r="C1532" t="s">
        <v>3003</v>
      </c>
    </row>
    <row r="1533" spans="1:3" x14ac:dyDescent="0.25">
      <c r="A1533" t="str">
        <f>"767040"</f>
        <v>767040</v>
      </c>
      <c r="B1533" t="s">
        <v>3004</v>
      </c>
      <c r="C1533" t="s">
        <v>3005</v>
      </c>
    </row>
    <row r="1534" spans="1:3" x14ac:dyDescent="0.25">
      <c r="A1534" t="str">
        <f>"765006"</f>
        <v>765006</v>
      </c>
      <c r="B1534" t="s">
        <v>3006</v>
      </c>
      <c r="C1534" t="s">
        <v>3007</v>
      </c>
    </row>
    <row r="1535" spans="1:3" x14ac:dyDescent="0.25">
      <c r="A1535" t="str">
        <f>"765007"</f>
        <v>765007</v>
      </c>
      <c r="B1535" t="s">
        <v>3008</v>
      </c>
      <c r="C1535" t="s">
        <v>3009</v>
      </c>
    </row>
    <row r="1536" spans="1:3" x14ac:dyDescent="0.25">
      <c r="A1536" t="str">
        <f>"765008"</f>
        <v>765008</v>
      </c>
      <c r="B1536" t="s">
        <v>3010</v>
      </c>
      <c r="C1536" t="s">
        <v>3011</v>
      </c>
    </row>
    <row r="1537" spans="1:3" x14ac:dyDescent="0.25">
      <c r="A1537" t="str">
        <f>"765009"</f>
        <v>765009</v>
      </c>
      <c r="B1537" t="s">
        <v>3012</v>
      </c>
      <c r="C1537" t="s">
        <v>3013</v>
      </c>
    </row>
    <row r="1538" spans="1:3" x14ac:dyDescent="0.25">
      <c r="A1538" t="str">
        <f>"765010"</f>
        <v>765010</v>
      </c>
      <c r="B1538" t="s">
        <v>3014</v>
      </c>
      <c r="C1538" t="s">
        <v>3015</v>
      </c>
    </row>
    <row r="1539" spans="1:3" x14ac:dyDescent="0.25">
      <c r="A1539" t="str">
        <f>"765011"</f>
        <v>765011</v>
      </c>
      <c r="B1539" t="s">
        <v>3016</v>
      </c>
      <c r="C1539" t="s">
        <v>3017</v>
      </c>
    </row>
    <row r="1540" spans="1:3" x14ac:dyDescent="0.25">
      <c r="A1540" t="str">
        <f>"765012"</f>
        <v>765012</v>
      </c>
      <c r="B1540" t="s">
        <v>3018</v>
      </c>
      <c r="C1540" t="s">
        <v>3019</v>
      </c>
    </row>
    <row r="1541" spans="1:3" x14ac:dyDescent="0.25">
      <c r="A1541" t="str">
        <f>"764159"</f>
        <v>764159</v>
      </c>
      <c r="B1541" t="s">
        <v>3020</v>
      </c>
      <c r="C1541" t="s">
        <v>2663</v>
      </c>
    </row>
    <row r="1542" spans="1:3" x14ac:dyDescent="0.25">
      <c r="A1542" t="str">
        <f>"764160"</f>
        <v>764160</v>
      </c>
      <c r="B1542" t="s">
        <v>3021</v>
      </c>
      <c r="C1542" t="s">
        <v>2665</v>
      </c>
    </row>
    <row r="1543" spans="1:3" x14ac:dyDescent="0.25">
      <c r="A1543" t="str">
        <f>"764161"</f>
        <v>764161</v>
      </c>
      <c r="B1543" t="s">
        <v>3022</v>
      </c>
      <c r="C1543" t="s">
        <v>2667</v>
      </c>
    </row>
    <row r="1544" spans="1:3" x14ac:dyDescent="0.25">
      <c r="A1544" t="str">
        <f>"764162"</f>
        <v>764162</v>
      </c>
      <c r="B1544" t="s">
        <v>3023</v>
      </c>
      <c r="C1544" t="s">
        <v>2669</v>
      </c>
    </row>
    <row r="1545" spans="1:3" x14ac:dyDescent="0.25">
      <c r="A1545" t="str">
        <f>"764163"</f>
        <v>764163</v>
      </c>
      <c r="B1545" t="s">
        <v>3024</v>
      </c>
      <c r="C1545" t="s">
        <v>2671</v>
      </c>
    </row>
    <row r="1546" spans="1:3" x14ac:dyDescent="0.25">
      <c r="A1546" t="str">
        <f>"764164"</f>
        <v>764164</v>
      </c>
      <c r="B1546" t="s">
        <v>3025</v>
      </c>
      <c r="C1546" t="s">
        <v>3026</v>
      </c>
    </row>
    <row r="1547" spans="1:3" x14ac:dyDescent="0.25">
      <c r="A1547" t="str">
        <f>"764165"</f>
        <v>764165</v>
      </c>
      <c r="B1547" t="s">
        <v>3027</v>
      </c>
      <c r="C1547" t="s">
        <v>3028</v>
      </c>
    </row>
    <row r="1548" spans="1:3" x14ac:dyDescent="0.25">
      <c r="A1548" t="str">
        <f>"764166"</f>
        <v>764166</v>
      </c>
      <c r="B1548" t="s">
        <v>3029</v>
      </c>
      <c r="C1548" t="s">
        <v>3030</v>
      </c>
    </row>
    <row r="1549" spans="1:3" x14ac:dyDescent="0.25">
      <c r="A1549" t="str">
        <f>"764167"</f>
        <v>764167</v>
      </c>
      <c r="B1549" t="s">
        <v>3031</v>
      </c>
      <c r="C1549" t="s">
        <v>3032</v>
      </c>
    </row>
    <row r="1550" spans="1:3" x14ac:dyDescent="0.25">
      <c r="A1550" t="str">
        <f>"764168"</f>
        <v>764168</v>
      </c>
      <c r="B1550" t="s">
        <v>3033</v>
      </c>
      <c r="C1550" t="s">
        <v>3034</v>
      </c>
    </row>
    <row r="1551" spans="1:3" x14ac:dyDescent="0.25">
      <c r="A1551" t="str">
        <f>"764169"</f>
        <v>764169</v>
      </c>
      <c r="B1551" t="s">
        <v>3035</v>
      </c>
      <c r="C1551" t="s">
        <v>3036</v>
      </c>
    </row>
    <row r="1552" spans="1:3" x14ac:dyDescent="0.25">
      <c r="A1552" t="str">
        <f>"764170"</f>
        <v>764170</v>
      </c>
      <c r="B1552" t="s">
        <v>3037</v>
      </c>
      <c r="C1552" t="s">
        <v>2685</v>
      </c>
    </row>
    <row r="1553" spans="1:3" x14ac:dyDescent="0.25">
      <c r="A1553" t="str">
        <f>"764171"</f>
        <v>764171</v>
      </c>
      <c r="B1553" t="s">
        <v>3038</v>
      </c>
      <c r="C1553" t="s">
        <v>3039</v>
      </c>
    </row>
    <row r="1554" spans="1:3" x14ac:dyDescent="0.25">
      <c r="A1554" t="str">
        <f>"764172"</f>
        <v>764172</v>
      </c>
      <c r="B1554" t="s">
        <v>3040</v>
      </c>
      <c r="C1554" t="s">
        <v>2689</v>
      </c>
    </row>
    <row r="1555" spans="1:3" x14ac:dyDescent="0.25">
      <c r="A1555" t="str">
        <f>"764173"</f>
        <v>764173</v>
      </c>
      <c r="B1555" t="s">
        <v>3041</v>
      </c>
      <c r="C1555" t="s">
        <v>3042</v>
      </c>
    </row>
    <row r="1556" spans="1:3" x14ac:dyDescent="0.25">
      <c r="A1556" t="str">
        <f>"764174"</f>
        <v>764174</v>
      </c>
      <c r="B1556" t="s">
        <v>3043</v>
      </c>
      <c r="C1556" t="s">
        <v>3044</v>
      </c>
    </row>
    <row r="1557" spans="1:3" x14ac:dyDescent="0.25">
      <c r="A1557" t="str">
        <f>"764175"</f>
        <v>764175</v>
      </c>
      <c r="B1557" t="s">
        <v>3045</v>
      </c>
      <c r="C1557" t="s">
        <v>3046</v>
      </c>
    </row>
    <row r="1558" spans="1:3" x14ac:dyDescent="0.25">
      <c r="A1558" t="str">
        <f>"764176"</f>
        <v>764176</v>
      </c>
      <c r="B1558" t="s">
        <v>3047</v>
      </c>
      <c r="C1558" t="s">
        <v>2697</v>
      </c>
    </row>
    <row r="1559" spans="1:3" x14ac:dyDescent="0.25">
      <c r="A1559" t="str">
        <f>"764177"</f>
        <v>764177</v>
      </c>
      <c r="B1559" t="s">
        <v>3048</v>
      </c>
      <c r="C1559" t="s">
        <v>3049</v>
      </c>
    </row>
    <row r="1560" spans="1:3" x14ac:dyDescent="0.25">
      <c r="A1560" t="str">
        <f>"764178"</f>
        <v>764178</v>
      </c>
      <c r="B1560" t="s">
        <v>3050</v>
      </c>
      <c r="C1560" t="s">
        <v>3051</v>
      </c>
    </row>
    <row r="1561" spans="1:3" x14ac:dyDescent="0.25">
      <c r="A1561" t="str">
        <f>"764179"</f>
        <v>764179</v>
      </c>
      <c r="B1561" t="s">
        <v>3052</v>
      </c>
      <c r="C1561" t="s">
        <v>3053</v>
      </c>
    </row>
    <row r="1562" spans="1:3" x14ac:dyDescent="0.25">
      <c r="A1562" t="str">
        <f>"764180"</f>
        <v>764180</v>
      </c>
      <c r="B1562" t="s">
        <v>3054</v>
      </c>
      <c r="C1562" t="s">
        <v>2705</v>
      </c>
    </row>
    <row r="1563" spans="1:3" x14ac:dyDescent="0.25">
      <c r="A1563" t="str">
        <f>"764181"</f>
        <v>764181</v>
      </c>
      <c r="B1563" t="s">
        <v>3055</v>
      </c>
      <c r="C1563" t="s">
        <v>3056</v>
      </c>
    </row>
    <row r="1564" spans="1:3" x14ac:dyDescent="0.25">
      <c r="A1564" t="str">
        <f>"764182"</f>
        <v>764182</v>
      </c>
      <c r="B1564" t="s">
        <v>3057</v>
      </c>
      <c r="C1564" t="s">
        <v>3058</v>
      </c>
    </row>
    <row r="1565" spans="1:3" x14ac:dyDescent="0.25">
      <c r="A1565" t="str">
        <f>"764183"</f>
        <v>764183</v>
      </c>
      <c r="B1565" t="s">
        <v>3059</v>
      </c>
      <c r="C1565" t="s">
        <v>2711</v>
      </c>
    </row>
    <row r="1566" spans="1:3" x14ac:dyDescent="0.25">
      <c r="A1566" t="str">
        <f>"764184"</f>
        <v>764184</v>
      </c>
      <c r="B1566" t="s">
        <v>3060</v>
      </c>
      <c r="C1566" t="s">
        <v>3061</v>
      </c>
    </row>
    <row r="1567" spans="1:3" x14ac:dyDescent="0.25">
      <c r="A1567" t="str">
        <f>"764185"</f>
        <v>764185</v>
      </c>
      <c r="B1567" t="s">
        <v>3062</v>
      </c>
      <c r="C1567" t="s">
        <v>3063</v>
      </c>
    </row>
    <row r="1568" spans="1:3" x14ac:dyDescent="0.25">
      <c r="A1568" t="str">
        <f>"764186"</f>
        <v>764186</v>
      </c>
      <c r="B1568" t="s">
        <v>3064</v>
      </c>
      <c r="C1568" t="s">
        <v>3065</v>
      </c>
    </row>
    <row r="1569" spans="1:3" x14ac:dyDescent="0.25">
      <c r="A1569" t="str">
        <f>"764187"</f>
        <v>764187</v>
      </c>
      <c r="B1569" t="s">
        <v>3066</v>
      </c>
      <c r="C1569" t="s">
        <v>3067</v>
      </c>
    </row>
    <row r="1570" spans="1:3" x14ac:dyDescent="0.25">
      <c r="A1570" t="str">
        <f>"764188"</f>
        <v>764188</v>
      </c>
      <c r="B1570" t="s">
        <v>3068</v>
      </c>
      <c r="C1570" t="s">
        <v>3069</v>
      </c>
    </row>
    <row r="1571" spans="1:3" x14ac:dyDescent="0.25">
      <c r="A1571" t="str">
        <f>"764189"</f>
        <v>764189</v>
      </c>
      <c r="B1571" t="s">
        <v>3070</v>
      </c>
      <c r="C1571" t="s">
        <v>3071</v>
      </c>
    </row>
    <row r="1572" spans="1:3" x14ac:dyDescent="0.25">
      <c r="A1572" t="str">
        <f>"764190"</f>
        <v>764190</v>
      </c>
      <c r="B1572" t="s">
        <v>3072</v>
      </c>
      <c r="C1572" t="s">
        <v>2725</v>
      </c>
    </row>
    <row r="1573" spans="1:3" x14ac:dyDescent="0.25">
      <c r="A1573" t="str">
        <f>"764191"</f>
        <v>764191</v>
      </c>
      <c r="B1573" t="s">
        <v>3073</v>
      </c>
      <c r="C1573" t="s">
        <v>2727</v>
      </c>
    </row>
    <row r="1574" spans="1:3" x14ac:dyDescent="0.25">
      <c r="A1574" t="str">
        <f>"764192"</f>
        <v>764192</v>
      </c>
      <c r="B1574" t="s">
        <v>3074</v>
      </c>
      <c r="C1574" t="s">
        <v>2729</v>
      </c>
    </row>
    <row r="1575" spans="1:3" x14ac:dyDescent="0.25">
      <c r="A1575" t="str">
        <f>"764193"</f>
        <v>764193</v>
      </c>
      <c r="B1575" t="s">
        <v>3075</v>
      </c>
      <c r="C1575" t="s">
        <v>2731</v>
      </c>
    </row>
    <row r="1576" spans="1:3" x14ac:dyDescent="0.25">
      <c r="A1576" t="str">
        <f>"764194"</f>
        <v>764194</v>
      </c>
      <c r="B1576" t="s">
        <v>3076</v>
      </c>
      <c r="C1576" t="s">
        <v>3077</v>
      </c>
    </row>
    <row r="1577" spans="1:3" x14ac:dyDescent="0.25">
      <c r="A1577" t="str">
        <f>"764195"</f>
        <v>764195</v>
      </c>
      <c r="B1577" t="s">
        <v>3078</v>
      </c>
      <c r="C1577" t="s">
        <v>3079</v>
      </c>
    </row>
    <row r="1578" spans="1:3" x14ac:dyDescent="0.25">
      <c r="A1578" t="str">
        <f>"764196"</f>
        <v>764196</v>
      </c>
      <c r="B1578" t="s">
        <v>3080</v>
      </c>
      <c r="C1578" t="s">
        <v>3081</v>
      </c>
    </row>
    <row r="1579" spans="1:3" x14ac:dyDescent="0.25">
      <c r="A1579" t="str">
        <f>"764197"</f>
        <v>764197</v>
      </c>
      <c r="B1579" t="s">
        <v>3082</v>
      </c>
      <c r="C1579" t="s">
        <v>3083</v>
      </c>
    </row>
    <row r="1580" spans="1:3" x14ac:dyDescent="0.25">
      <c r="A1580" t="str">
        <f>"764198"</f>
        <v>764198</v>
      </c>
      <c r="B1580" t="s">
        <v>3084</v>
      </c>
      <c r="C1580" t="s">
        <v>2741</v>
      </c>
    </row>
    <row r="1581" spans="1:3" x14ac:dyDescent="0.25">
      <c r="A1581" t="str">
        <f>"764199"</f>
        <v>764199</v>
      </c>
      <c r="B1581" t="s">
        <v>3085</v>
      </c>
      <c r="C1581" t="s">
        <v>2743</v>
      </c>
    </row>
    <row r="1582" spans="1:3" x14ac:dyDescent="0.25">
      <c r="A1582" t="str">
        <f>"8134T1"</f>
        <v>8134T1</v>
      </c>
      <c r="B1582" t="s">
        <v>3086</v>
      </c>
      <c r="C1582" t="s">
        <v>3087</v>
      </c>
    </row>
    <row r="1583" spans="1:3" x14ac:dyDescent="0.25">
      <c r="A1583" t="str">
        <f>"81961 "</f>
        <v xml:space="preserve">81961 </v>
      </c>
      <c r="B1583" t="s">
        <v>3088</v>
      </c>
      <c r="C1583" t="s">
        <v>3089</v>
      </c>
    </row>
    <row r="1584" spans="1:3" x14ac:dyDescent="0.25">
      <c r="A1584" t="str">
        <f>"8133P "</f>
        <v xml:space="preserve">8133P </v>
      </c>
      <c r="B1584" t="s">
        <v>3090</v>
      </c>
      <c r="C1584" t="s">
        <v>3091</v>
      </c>
    </row>
    <row r="1585" spans="1:3" x14ac:dyDescent="0.25">
      <c r="A1585" t="str">
        <f>"81402 "</f>
        <v xml:space="preserve">81402 </v>
      </c>
      <c r="B1585" t="s">
        <v>3092</v>
      </c>
      <c r="C1585" t="s">
        <v>3093</v>
      </c>
    </row>
    <row r="1586" spans="1:3" x14ac:dyDescent="0.25">
      <c r="A1586" t="str">
        <f>"81751 "</f>
        <v xml:space="preserve">81751 </v>
      </c>
      <c r="B1586" t="s">
        <v>3094</v>
      </c>
      <c r="C1586" t="s">
        <v>3095</v>
      </c>
    </row>
    <row r="1587" spans="1:3" x14ac:dyDescent="0.25">
      <c r="A1587" t="str">
        <f>"81752 "</f>
        <v xml:space="preserve">81752 </v>
      </c>
      <c r="B1587" t="s">
        <v>3096</v>
      </c>
      <c r="C1587" t="s">
        <v>3097</v>
      </c>
    </row>
    <row r="1588" spans="1:3" x14ac:dyDescent="0.25">
      <c r="A1588" t="str">
        <f>"81753 "</f>
        <v xml:space="preserve">81753 </v>
      </c>
      <c r="B1588" t="s">
        <v>3098</v>
      </c>
      <c r="C1588" t="s">
        <v>3099</v>
      </c>
    </row>
    <row r="1589" spans="1:3" x14ac:dyDescent="0.25">
      <c r="A1589" t="str">
        <f>"BBBBB "</f>
        <v xml:space="preserve">BBBBB </v>
      </c>
      <c r="B1589" t="s">
        <v>3100</v>
      </c>
      <c r="C1589" t="s">
        <v>3101</v>
      </c>
    </row>
    <row r="1590" spans="1:3" x14ac:dyDescent="0.25">
      <c r="A1590" t="str">
        <f>"81063 "</f>
        <v xml:space="preserve">81063 </v>
      </c>
      <c r="B1590" t="s">
        <v>3102</v>
      </c>
      <c r="C1590" t="s">
        <v>3103</v>
      </c>
    </row>
    <row r="1591" spans="1:3" x14ac:dyDescent="0.25">
      <c r="A1591" t="str">
        <f>"761160"</f>
        <v>761160</v>
      </c>
      <c r="B1591" t="s">
        <v>3104</v>
      </c>
      <c r="C1591" t="s">
        <v>3105</v>
      </c>
    </row>
    <row r="1592" spans="1:3" x14ac:dyDescent="0.25">
      <c r="A1592" t="str">
        <f>"761161"</f>
        <v>761161</v>
      </c>
      <c r="B1592" t="s">
        <v>3106</v>
      </c>
      <c r="C1592" t="s">
        <v>3107</v>
      </c>
    </row>
    <row r="1593" spans="1:3" x14ac:dyDescent="0.25">
      <c r="A1593" t="str">
        <f>"761162"</f>
        <v>761162</v>
      </c>
      <c r="B1593" t="s">
        <v>3108</v>
      </c>
      <c r="C1593" t="s">
        <v>3109</v>
      </c>
    </row>
    <row r="1594" spans="1:3" x14ac:dyDescent="0.25">
      <c r="A1594" t="str">
        <f>"761163"</f>
        <v>761163</v>
      </c>
      <c r="B1594" t="s">
        <v>3110</v>
      </c>
      <c r="C1594" t="s">
        <v>3111</v>
      </c>
    </row>
    <row r="1595" spans="1:3" x14ac:dyDescent="0.25">
      <c r="A1595" t="str">
        <f>"761164"</f>
        <v>761164</v>
      </c>
      <c r="B1595" t="s">
        <v>3112</v>
      </c>
      <c r="C1595" t="s">
        <v>3113</v>
      </c>
    </row>
    <row r="1596" spans="1:3" x14ac:dyDescent="0.25">
      <c r="A1596" t="str">
        <f>"761165"</f>
        <v>761165</v>
      </c>
      <c r="B1596" t="s">
        <v>3114</v>
      </c>
      <c r="C1596" t="s">
        <v>3115</v>
      </c>
    </row>
    <row r="1597" spans="1:3" x14ac:dyDescent="0.25">
      <c r="A1597" t="str">
        <f>"761166"</f>
        <v>761166</v>
      </c>
      <c r="B1597" t="s">
        <v>3116</v>
      </c>
      <c r="C1597" t="s">
        <v>3117</v>
      </c>
    </row>
    <row r="1598" spans="1:3" x14ac:dyDescent="0.25">
      <c r="A1598" t="str">
        <f>"761167"</f>
        <v>761167</v>
      </c>
      <c r="B1598" t="s">
        <v>3118</v>
      </c>
      <c r="C1598" t="s">
        <v>3119</v>
      </c>
    </row>
    <row r="1599" spans="1:3" x14ac:dyDescent="0.25">
      <c r="A1599" t="str">
        <f>"761168"</f>
        <v>761168</v>
      </c>
      <c r="B1599" t="s">
        <v>3120</v>
      </c>
      <c r="C1599" t="s">
        <v>3121</v>
      </c>
    </row>
    <row r="1600" spans="1:3" x14ac:dyDescent="0.25">
      <c r="A1600" t="str">
        <f>"761169"</f>
        <v>761169</v>
      </c>
      <c r="B1600" t="s">
        <v>3122</v>
      </c>
      <c r="C1600" t="s">
        <v>3123</v>
      </c>
    </row>
    <row r="1601" spans="1:3" x14ac:dyDescent="0.25">
      <c r="A1601" t="str">
        <f>"761170"</f>
        <v>761170</v>
      </c>
      <c r="B1601" t="s">
        <v>3124</v>
      </c>
      <c r="C1601" t="s">
        <v>3125</v>
      </c>
    </row>
    <row r="1602" spans="1:3" x14ac:dyDescent="0.25">
      <c r="A1602" t="str">
        <f>"761171"</f>
        <v>761171</v>
      </c>
      <c r="B1602" t="s">
        <v>3126</v>
      </c>
      <c r="C1602" t="s">
        <v>3127</v>
      </c>
    </row>
    <row r="1603" spans="1:3" x14ac:dyDescent="0.25">
      <c r="A1603" t="str">
        <f>"762181"</f>
        <v>762181</v>
      </c>
      <c r="B1603" t="s">
        <v>3128</v>
      </c>
      <c r="C1603" t="s">
        <v>3129</v>
      </c>
    </row>
    <row r="1604" spans="1:3" x14ac:dyDescent="0.25">
      <c r="A1604" t="str">
        <f>"762182"</f>
        <v>762182</v>
      </c>
      <c r="B1604" t="s">
        <v>3130</v>
      </c>
      <c r="C1604" t="s">
        <v>3131</v>
      </c>
    </row>
    <row r="1605" spans="1:3" x14ac:dyDescent="0.25">
      <c r="A1605" t="str">
        <f>"762183"</f>
        <v>762183</v>
      </c>
      <c r="B1605" t="s">
        <v>3132</v>
      </c>
      <c r="C1605" t="s">
        <v>3133</v>
      </c>
    </row>
    <row r="1606" spans="1:3" x14ac:dyDescent="0.25">
      <c r="A1606" t="str">
        <f>"762184"</f>
        <v>762184</v>
      </c>
      <c r="B1606" t="s">
        <v>3134</v>
      </c>
      <c r="C1606" t="s">
        <v>3135</v>
      </c>
    </row>
    <row r="1607" spans="1:3" x14ac:dyDescent="0.25">
      <c r="A1607" t="str">
        <f>"762185"</f>
        <v>762185</v>
      </c>
      <c r="B1607" t="s">
        <v>3136</v>
      </c>
      <c r="C1607" t="s">
        <v>3137</v>
      </c>
    </row>
    <row r="1608" spans="1:3" x14ac:dyDescent="0.25">
      <c r="A1608" t="str">
        <f>"762186"</f>
        <v>762186</v>
      </c>
      <c r="B1608" t="s">
        <v>3138</v>
      </c>
      <c r="C1608" t="s">
        <v>3139</v>
      </c>
    </row>
    <row r="1609" spans="1:3" x14ac:dyDescent="0.25">
      <c r="A1609" t="str">
        <f>"762187"</f>
        <v>762187</v>
      </c>
      <c r="B1609" t="s">
        <v>3140</v>
      </c>
      <c r="C1609" t="s">
        <v>3141</v>
      </c>
    </row>
    <row r="1610" spans="1:3" x14ac:dyDescent="0.25">
      <c r="A1610" t="str">
        <f>"762188"</f>
        <v>762188</v>
      </c>
      <c r="B1610" t="s">
        <v>3142</v>
      </c>
      <c r="C1610" t="s">
        <v>3143</v>
      </c>
    </row>
    <row r="1611" spans="1:3" x14ac:dyDescent="0.25">
      <c r="A1611" t="str">
        <f>"762189"</f>
        <v>762189</v>
      </c>
      <c r="B1611" t="s">
        <v>3144</v>
      </c>
      <c r="C1611" t="s">
        <v>3145</v>
      </c>
    </row>
    <row r="1612" spans="1:3" x14ac:dyDescent="0.25">
      <c r="A1612" t="str">
        <f>"761172"</f>
        <v>761172</v>
      </c>
      <c r="B1612" t="s">
        <v>3146</v>
      </c>
      <c r="C1612" t="s">
        <v>3147</v>
      </c>
    </row>
    <row r="1613" spans="1:3" x14ac:dyDescent="0.25">
      <c r="A1613" t="str">
        <f>"761173"</f>
        <v>761173</v>
      </c>
      <c r="B1613" t="s">
        <v>3148</v>
      </c>
      <c r="C1613" t="s">
        <v>3149</v>
      </c>
    </row>
    <row r="1614" spans="1:3" x14ac:dyDescent="0.25">
      <c r="A1614" t="str">
        <f>"761174"</f>
        <v>761174</v>
      </c>
      <c r="B1614" t="s">
        <v>3150</v>
      </c>
      <c r="C1614" t="s">
        <v>3151</v>
      </c>
    </row>
    <row r="1615" spans="1:3" x14ac:dyDescent="0.25">
      <c r="A1615" t="str">
        <f>"761175"</f>
        <v>761175</v>
      </c>
      <c r="B1615" t="s">
        <v>3152</v>
      </c>
      <c r="C1615" t="s">
        <v>3153</v>
      </c>
    </row>
    <row r="1616" spans="1:3" x14ac:dyDescent="0.25">
      <c r="A1616" t="str">
        <f>"761176"</f>
        <v>761176</v>
      </c>
      <c r="B1616" t="s">
        <v>3154</v>
      </c>
      <c r="C1616" t="s">
        <v>3155</v>
      </c>
    </row>
    <row r="1617" spans="1:3" x14ac:dyDescent="0.25">
      <c r="A1617" t="str">
        <f>"761177"</f>
        <v>761177</v>
      </c>
      <c r="B1617" t="s">
        <v>3156</v>
      </c>
      <c r="C1617" t="s">
        <v>3157</v>
      </c>
    </row>
    <row r="1618" spans="1:3" x14ac:dyDescent="0.25">
      <c r="A1618" t="str">
        <f>"761178"</f>
        <v>761178</v>
      </c>
      <c r="B1618" t="s">
        <v>3158</v>
      </c>
      <c r="C1618" t="s">
        <v>3159</v>
      </c>
    </row>
    <row r="1619" spans="1:3" x14ac:dyDescent="0.25">
      <c r="A1619" t="str">
        <f>"761179"</f>
        <v>761179</v>
      </c>
      <c r="B1619" t="s">
        <v>3160</v>
      </c>
      <c r="C1619" t="s">
        <v>3161</v>
      </c>
    </row>
    <row r="1620" spans="1:3" x14ac:dyDescent="0.25">
      <c r="A1620" t="str">
        <f>"761180"</f>
        <v>761180</v>
      </c>
      <c r="B1620" t="s">
        <v>3162</v>
      </c>
      <c r="C1620" t="s">
        <v>3163</v>
      </c>
    </row>
    <row r="1621" spans="1:3" x14ac:dyDescent="0.25">
      <c r="A1621" t="str">
        <f>"761181"</f>
        <v>761181</v>
      </c>
      <c r="B1621" t="s">
        <v>3164</v>
      </c>
      <c r="C1621" t="s">
        <v>3165</v>
      </c>
    </row>
    <row r="1622" spans="1:3" x14ac:dyDescent="0.25">
      <c r="A1622" t="str">
        <f>"764200"</f>
        <v>764200</v>
      </c>
      <c r="B1622" t="s">
        <v>3166</v>
      </c>
      <c r="C1622" t="s">
        <v>3167</v>
      </c>
    </row>
    <row r="1623" spans="1:3" x14ac:dyDescent="0.25">
      <c r="A1623" t="str">
        <f>"764201"</f>
        <v>764201</v>
      </c>
      <c r="B1623" t="s">
        <v>3168</v>
      </c>
      <c r="C1623" t="s">
        <v>3169</v>
      </c>
    </row>
    <row r="1624" spans="1:3" x14ac:dyDescent="0.25">
      <c r="A1624" t="str">
        <f>"764202"</f>
        <v>764202</v>
      </c>
      <c r="B1624" t="s">
        <v>3170</v>
      </c>
      <c r="C1624" t="s">
        <v>3171</v>
      </c>
    </row>
    <row r="1625" spans="1:3" x14ac:dyDescent="0.25">
      <c r="A1625" t="str">
        <f>"764203"</f>
        <v>764203</v>
      </c>
      <c r="B1625" t="s">
        <v>3172</v>
      </c>
      <c r="C1625" t="s">
        <v>3173</v>
      </c>
    </row>
    <row r="1626" spans="1:3" x14ac:dyDescent="0.25">
      <c r="A1626" t="str">
        <f>"764204"</f>
        <v>764204</v>
      </c>
      <c r="B1626" t="s">
        <v>3174</v>
      </c>
      <c r="C1626" t="s">
        <v>3175</v>
      </c>
    </row>
    <row r="1627" spans="1:3" x14ac:dyDescent="0.25">
      <c r="A1627" t="str">
        <f>"764205"</f>
        <v>764205</v>
      </c>
      <c r="B1627" t="s">
        <v>3176</v>
      </c>
      <c r="C1627" t="s">
        <v>3177</v>
      </c>
    </row>
    <row r="1628" spans="1:3" x14ac:dyDescent="0.25">
      <c r="A1628" t="str">
        <f>"764206"</f>
        <v>764206</v>
      </c>
      <c r="B1628" t="s">
        <v>3178</v>
      </c>
      <c r="C1628" t="s">
        <v>3179</v>
      </c>
    </row>
    <row r="1629" spans="1:3" x14ac:dyDescent="0.25">
      <c r="A1629" t="str">
        <f>"764207"</f>
        <v>764207</v>
      </c>
      <c r="B1629" t="s">
        <v>3180</v>
      </c>
      <c r="C1629" t="s">
        <v>3181</v>
      </c>
    </row>
    <row r="1630" spans="1:3" x14ac:dyDescent="0.25">
      <c r="A1630" t="str">
        <f>"764208"</f>
        <v>764208</v>
      </c>
      <c r="B1630" t="s">
        <v>3182</v>
      </c>
      <c r="C1630" t="s">
        <v>3183</v>
      </c>
    </row>
    <row r="1631" spans="1:3" x14ac:dyDescent="0.25">
      <c r="A1631" t="str">
        <f>"764209"</f>
        <v>764209</v>
      </c>
      <c r="B1631" t="s">
        <v>3184</v>
      </c>
      <c r="C1631" t="s">
        <v>3185</v>
      </c>
    </row>
    <row r="1632" spans="1:3" x14ac:dyDescent="0.25">
      <c r="A1632" t="str">
        <f>"764210"</f>
        <v>764210</v>
      </c>
      <c r="B1632" t="s">
        <v>3186</v>
      </c>
      <c r="C1632" t="s">
        <v>3187</v>
      </c>
    </row>
    <row r="1633" spans="1:3" x14ac:dyDescent="0.25">
      <c r="A1633" t="str">
        <f>"764211"</f>
        <v>764211</v>
      </c>
      <c r="B1633" t="s">
        <v>3188</v>
      </c>
      <c r="C1633" t="s">
        <v>3189</v>
      </c>
    </row>
    <row r="1634" spans="1:3" x14ac:dyDescent="0.25">
      <c r="A1634" t="str">
        <f>"764212"</f>
        <v>764212</v>
      </c>
      <c r="B1634" t="s">
        <v>3190</v>
      </c>
      <c r="C1634" t="s">
        <v>3191</v>
      </c>
    </row>
    <row r="1635" spans="1:3" x14ac:dyDescent="0.25">
      <c r="A1635" t="str">
        <f>"764213"</f>
        <v>764213</v>
      </c>
      <c r="B1635" t="s">
        <v>3192</v>
      </c>
      <c r="C1635" t="s">
        <v>3193</v>
      </c>
    </row>
    <row r="1636" spans="1:3" x14ac:dyDescent="0.25">
      <c r="A1636" t="str">
        <f>"764214"</f>
        <v>764214</v>
      </c>
      <c r="B1636" t="s">
        <v>3194</v>
      </c>
      <c r="C1636" t="s">
        <v>3195</v>
      </c>
    </row>
    <row r="1637" spans="1:3" x14ac:dyDescent="0.25">
      <c r="A1637" t="str">
        <f>"764215"</f>
        <v>764215</v>
      </c>
      <c r="B1637" t="s">
        <v>3196</v>
      </c>
      <c r="C1637" t="s">
        <v>3197</v>
      </c>
    </row>
    <row r="1638" spans="1:3" x14ac:dyDescent="0.25">
      <c r="A1638" t="str">
        <f>"764216"</f>
        <v>764216</v>
      </c>
      <c r="B1638" t="s">
        <v>3198</v>
      </c>
      <c r="C1638" t="s">
        <v>3199</v>
      </c>
    </row>
    <row r="1639" spans="1:3" x14ac:dyDescent="0.25">
      <c r="A1639" t="str">
        <f>"764217"</f>
        <v>764217</v>
      </c>
      <c r="B1639" t="s">
        <v>3200</v>
      </c>
      <c r="C1639" t="s">
        <v>3201</v>
      </c>
    </row>
    <row r="1640" spans="1:3" x14ac:dyDescent="0.25">
      <c r="A1640" t="str">
        <f>"764218"</f>
        <v>764218</v>
      </c>
      <c r="B1640" t="s">
        <v>3202</v>
      </c>
      <c r="C1640" t="s">
        <v>3203</v>
      </c>
    </row>
    <row r="1641" spans="1:3" x14ac:dyDescent="0.25">
      <c r="A1641" t="str">
        <f>"764219"</f>
        <v>764219</v>
      </c>
      <c r="B1641" t="s">
        <v>3204</v>
      </c>
      <c r="C1641" t="s">
        <v>3205</v>
      </c>
    </row>
    <row r="1642" spans="1:3" x14ac:dyDescent="0.25">
      <c r="A1642" t="str">
        <f>"764220"</f>
        <v>764220</v>
      </c>
      <c r="B1642" t="s">
        <v>3206</v>
      </c>
      <c r="C1642" t="s">
        <v>3207</v>
      </c>
    </row>
    <row r="1643" spans="1:3" x14ac:dyDescent="0.25">
      <c r="A1643" t="str">
        <f>"764221"</f>
        <v>764221</v>
      </c>
      <c r="B1643" t="s">
        <v>3208</v>
      </c>
      <c r="C1643" t="s">
        <v>3209</v>
      </c>
    </row>
    <row r="1644" spans="1:3" x14ac:dyDescent="0.25">
      <c r="A1644" t="str">
        <f>"764222"</f>
        <v>764222</v>
      </c>
      <c r="B1644" t="s">
        <v>3210</v>
      </c>
      <c r="C1644" t="s">
        <v>3211</v>
      </c>
    </row>
    <row r="1645" spans="1:3" x14ac:dyDescent="0.25">
      <c r="A1645" t="str">
        <f>"767041"</f>
        <v>767041</v>
      </c>
      <c r="B1645" t="s">
        <v>3212</v>
      </c>
      <c r="C1645" t="s">
        <v>3213</v>
      </c>
    </row>
    <row r="1646" spans="1:3" x14ac:dyDescent="0.25">
      <c r="A1646" t="str">
        <f>"767042"</f>
        <v>767042</v>
      </c>
      <c r="B1646" t="s">
        <v>3214</v>
      </c>
      <c r="C1646" t="s">
        <v>3215</v>
      </c>
    </row>
    <row r="1647" spans="1:3" x14ac:dyDescent="0.25">
      <c r="A1647" t="str">
        <f>"767043"</f>
        <v>767043</v>
      </c>
      <c r="B1647" t="s">
        <v>3216</v>
      </c>
      <c r="C1647" t="s">
        <v>3217</v>
      </c>
    </row>
    <row r="1648" spans="1:3" x14ac:dyDescent="0.25">
      <c r="A1648" t="str">
        <f>"767044"</f>
        <v>767044</v>
      </c>
      <c r="B1648" t="s">
        <v>3218</v>
      </c>
      <c r="C1648" t="s">
        <v>3219</v>
      </c>
    </row>
    <row r="1649" spans="1:3" x14ac:dyDescent="0.25">
      <c r="A1649" t="str">
        <f>"767045"</f>
        <v>767045</v>
      </c>
      <c r="B1649" t="s">
        <v>3220</v>
      </c>
      <c r="C1649" t="s">
        <v>3221</v>
      </c>
    </row>
    <row r="1650" spans="1:3" x14ac:dyDescent="0.25">
      <c r="A1650" t="str">
        <f>"763073"</f>
        <v>763073</v>
      </c>
      <c r="B1650" t="s">
        <v>3222</v>
      </c>
      <c r="C1650" t="s">
        <v>3223</v>
      </c>
    </row>
    <row r="1651" spans="1:3" x14ac:dyDescent="0.25">
      <c r="A1651" t="str">
        <f>"763074"</f>
        <v>763074</v>
      </c>
      <c r="B1651" t="s">
        <v>3224</v>
      </c>
      <c r="C1651" t="s">
        <v>3224</v>
      </c>
    </row>
    <row r="1652" spans="1:3" x14ac:dyDescent="0.25">
      <c r="A1652" t="str">
        <f>"763075"</f>
        <v>763075</v>
      </c>
      <c r="B1652" t="s">
        <v>3225</v>
      </c>
      <c r="C1652" t="s">
        <v>3226</v>
      </c>
    </row>
    <row r="1653" spans="1:3" x14ac:dyDescent="0.25">
      <c r="A1653" t="str">
        <f>"762190"</f>
        <v>762190</v>
      </c>
      <c r="B1653" t="s">
        <v>3227</v>
      </c>
      <c r="C1653" t="s">
        <v>3228</v>
      </c>
    </row>
    <row r="1654" spans="1:3" x14ac:dyDescent="0.25">
      <c r="A1654" t="str">
        <f>"761182"</f>
        <v>761182</v>
      </c>
      <c r="B1654" t="s">
        <v>3229</v>
      </c>
      <c r="C1654" t="s">
        <v>3230</v>
      </c>
    </row>
    <row r="1655" spans="1:3" x14ac:dyDescent="0.25">
      <c r="A1655" t="str">
        <f>"767046"</f>
        <v>767046</v>
      </c>
      <c r="B1655" t="s">
        <v>3231</v>
      </c>
      <c r="C1655" t="s">
        <v>3232</v>
      </c>
    </row>
    <row r="1656" spans="1:3" x14ac:dyDescent="0.25">
      <c r="A1656" t="str">
        <f>"811813"</f>
        <v>811813</v>
      </c>
      <c r="B1656" t="s">
        <v>3233</v>
      </c>
      <c r="C1656" t="s">
        <v>3234</v>
      </c>
    </row>
    <row r="1657" spans="1:3" x14ac:dyDescent="0.25">
      <c r="A1657" t="str">
        <f>"81462 "</f>
        <v xml:space="preserve">81462 </v>
      </c>
      <c r="B1657" t="s">
        <v>3235</v>
      </c>
      <c r="C1657" t="s">
        <v>3236</v>
      </c>
    </row>
    <row r="1658" spans="1:3" x14ac:dyDescent="0.25">
      <c r="A1658" t="str">
        <f>"761183"</f>
        <v>761183</v>
      </c>
      <c r="B1658" t="s">
        <v>3237</v>
      </c>
      <c r="C1658" t="s">
        <v>3238</v>
      </c>
    </row>
    <row r="1659" spans="1:3" x14ac:dyDescent="0.25">
      <c r="A1659" t="str">
        <f>"761184"</f>
        <v>761184</v>
      </c>
      <c r="B1659" t="s">
        <v>3239</v>
      </c>
      <c r="C1659" t="s">
        <v>3240</v>
      </c>
    </row>
    <row r="1660" spans="1:3" x14ac:dyDescent="0.25">
      <c r="A1660" t="str">
        <f>"761185"</f>
        <v>761185</v>
      </c>
      <c r="B1660" t="s">
        <v>3241</v>
      </c>
      <c r="C1660" t="s">
        <v>3242</v>
      </c>
    </row>
    <row r="1661" spans="1:3" x14ac:dyDescent="0.25">
      <c r="A1661" t="str">
        <f>"761186"</f>
        <v>761186</v>
      </c>
      <c r="B1661" t="s">
        <v>3243</v>
      </c>
      <c r="C1661" t="s">
        <v>3244</v>
      </c>
    </row>
    <row r="1662" spans="1:3" x14ac:dyDescent="0.25">
      <c r="A1662" t="str">
        <f>"761187"</f>
        <v>761187</v>
      </c>
      <c r="B1662" t="s">
        <v>3245</v>
      </c>
      <c r="C1662" t="s">
        <v>3246</v>
      </c>
    </row>
    <row r="1663" spans="1:3" x14ac:dyDescent="0.25">
      <c r="A1663" t="str">
        <f>"761188"</f>
        <v>761188</v>
      </c>
      <c r="B1663" t="s">
        <v>3247</v>
      </c>
      <c r="C1663" t="s">
        <v>3248</v>
      </c>
    </row>
    <row r="1664" spans="1:3" x14ac:dyDescent="0.25">
      <c r="A1664" t="str">
        <f>"763076"</f>
        <v>763076</v>
      </c>
      <c r="B1664" t="s">
        <v>3249</v>
      </c>
      <c r="C1664" t="s">
        <v>3250</v>
      </c>
    </row>
    <row r="1665" spans="1:3" x14ac:dyDescent="0.25">
      <c r="A1665" t="str">
        <f>"763077"</f>
        <v>763077</v>
      </c>
      <c r="B1665" t="s">
        <v>3251</v>
      </c>
      <c r="C1665" t="s">
        <v>3252</v>
      </c>
    </row>
    <row r="1666" spans="1:3" x14ac:dyDescent="0.25">
      <c r="A1666" t="str">
        <f>"764223"</f>
        <v>764223</v>
      </c>
      <c r="B1666" t="s">
        <v>3253</v>
      </c>
      <c r="C1666" t="s">
        <v>3254</v>
      </c>
    </row>
    <row r="1667" spans="1:3" x14ac:dyDescent="0.25">
      <c r="A1667" t="str">
        <f>"764224"</f>
        <v>764224</v>
      </c>
      <c r="B1667" t="s">
        <v>3255</v>
      </c>
      <c r="C1667" t="s">
        <v>3256</v>
      </c>
    </row>
    <row r="1668" spans="1:3" x14ac:dyDescent="0.25">
      <c r="A1668" t="str">
        <f>"764225"</f>
        <v>764225</v>
      </c>
      <c r="B1668" t="s">
        <v>3257</v>
      </c>
      <c r="C1668" t="s">
        <v>3258</v>
      </c>
    </row>
    <row r="1669" spans="1:3" x14ac:dyDescent="0.25">
      <c r="A1669" t="str">
        <f>"764226"</f>
        <v>764226</v>
      </c>
      <c r="B1669" t="s">
        <v>3259</v>
      </c>
      <c r="C1669" t="s">
        <v>3260</v>
      </c>
    </row>
    <row r="1670" spans="1:3" x14ac:dyDescent="0.25">
      <c r="A1670" t="str">
        <f>"764227"</f>
        <v>764227</v>
      </c>
      <c r="B1670" t="s">
        <v>3261</v>
      </c>
      <c r="C1670" t="s">
        <v>3262</v>
      </c>
    </row>
    <row r="1671" spans="1:3" x14ac:dyDescent="0.25">
      <c r="A1671" t="str">
        <f>"764228"</f>
        <v>764228</v>
      </c>
      <c r="B1671" t="s">
        <v>3263</v>
      </c>
      <c r="C1671" t="s">
        <v>3264</v>
      </c>
    </row>
    <row r="1672" spans="1:3" x14ac:dyDescent="0.25">
      <c r="A1672" t="str">
        <f>"764229"</f>
        <v>764229</v>
      </c>
      <c r="B1672" t="s">
        <v>3265</v>
      </c>
      <c r="C1672" t="s">
        <v>3266</v>
      </c>
    </row>
    <row r="1673" spans="1:3" x14ac:dyDescent="0.25">
      <c r="A1673" t="str">
        <f>"764230"</f>
        <v>764230</v>
      </c>
      <c r="B1673" t="s">
        <v>3267</v>
      </c>
      <c r="C1673" t="s">
        <v>3268</v>
      </c>
    </row>
    <row r="1674" spans="1:3" x14ac:dyDescent="0.25">
      <c r="A1674" t="str">
        <f>"764231"</f>
        <v>764231</v>
      </c>
      <c r="B1674" t="s">
        <v>3269</v>
      </c>
      <c r="C1674" t="s">
        <v>3270</v>
      </c>
    </row>
    <row r="1675" spans="1:3" x14ac:dyDescent="0.25">
      <c r="A1675" t="str">
        <f>"762191"</f>
        <v>762191</v>
      </c>
      <c r="B1675" t="s">
        <v>3271</v>
      </c>
      <c r="C1675" t="s">
        <v>3272</v>
      </c>
    </row>
    <row r="1676" spans="1:3" x14ac:dyDescent="0.25">
      <c r="A1676" t="str">
        <f>"762192"</f>
        <v>762192</v>
      </c>
      <c r="B1676" t="s">
        <v>3273</v>
      </c>
      <c r="C1676" t="s">
        <v>3274</v>
      </c>
    </row>
    <row r="1677" spans="1:3" x14ac:dyDescent="0.25">
      <c r="A1677" t="str">
        <f>"762193"</f>
        <v>762193</v>
      </c>
      <c r="B1677" t="s">
        <v>3275</v>
      </c>
      <c r="C1677" t="s">
        <v>3276</v>
      </c>
    </row>
    <row r="1678" spans="1:3" x14ac:dyDescent="0.25">
      <c r="A1678" t="str">
        <f>"762194"</f>
        <v>762194</v>
      </c>
      <c r="B1678" t="s">
        <v>3277</v>
      </c>
      <c r="C1678" t="s">
        <v>3278</v>
      </c>
    </row>
    <row r="1679" spans="1:3" x14ac:dyDescent="0.25">
      <c r="A1679" t="str">
        <f>"762195"</f>
        <v>762195</v>
      </c>
      <c r="B1679" t="s">
        <v>3279</v>
      </c>
      <c r="C1679" t="s">
        <v>3280</v>
      </c>
    </row>
    <row r="1680" spans="1:3" x14ac:dyDescent="0.25">
      <c r="A1680" t="str">
        <f>"762196"</f>
        <v>762196</v>
      </c>
      <c r="B1680" t="s">
        <v>3281</v>
      </c>
      <c r="C1680" t="s">
        <v>3282</v>
      </c>
    </row>
    <row r="1681" spans="1:3" x14ac:dyDescent="0.25">
      <c r="A1681" t="str">
        <f>"767047"</f>
        <v>767047</v>
      </c>
      <c r="B1681" t="s">
        <v>3283</v>
      </c>
      <c r="C1681" t="s">
        <v>3284</v>
      </c>
    </row>
    <row r="1682" spans="1:3" x14ac:dyDescent="0.25">
      <c r="A1682" t="str">
        <f>"8117D "</f>
        <v xml:space="preserve">8117D </v>
      </c>
      <c r="B1682" t="s">
        <v>3285</v>
      </c>
      <c r="C1682" t="s">
        <v>3286</v>
      </c>
    </row>
    <row r="1683" spans="1:3" x14ac:dyDescent="0.25">
      <c r="A1683" t="str">
        <f>"767048"</f>
        <v>767048</v>
      </c>
      <c r="B1683" t="s">
        <v>3287</v>
      </c>
      <c r="C1683" t="s">
        <v>3288</v>
      </c>
    </row>
    <row r="1684" spans="1:3" x14ac:dyDescent="0.25">
      <c r="A1684" t="str">
        <f>"765013"</f>
        <v>765013</v>
      </c>
      <c r="B1684" t="s">
        <v>3289</v>
      </c>
      <c r="C1684" t="s">
        <v>3290</v>
      </c>
    </row>
    <row r="1685" spans="1:3" x14ac:dyDescent="0.25">
      <c r="A1685" t="str">
        <f>"81064 "</f>
        <v xml:space="preserve">81064 </v>
      </c>
      <c r="B1685" t="s">
        <v>3291</v>
      </c>
      <c r="C1685" t="s">
        <v>3292</v>
      </c>
    </row>
    <row r="1686" spans="1:3" x14ac:dyDescent="0.25">
      <c r="A1686" t="str">
        <f>"764232"</f>
        <v>764232</v>
      </c>
      <c r="B1686" t="s">
        <v>3293</v>
      </c>
      <c r="C1686" t="s">
        <v>3294</v>
      </c>
    </row>
    <row r="1687" spans="1:3" x14ac:dyDescent="0.25">
      <c r="A1687" t="str">
        <f>"764233"</f>
        <v>764233</v>
      </c>
      <c r="B1687" t="s">
        <v>3295</v>
      </c>
      <c r="C1687" t="s">
        <v>3296</v>
      </c>
    </row>
    <row r="1688" spans="1:3" x14ac:dyDescent="0.25">
      <c r="A1688" t="str">
        <f>"761189"</f>
        <v>761189</v>
      </c>
      <c r="B1688" t="s">
        <v>3297</v>
      </c>
      <c r="C1688" t="s">
        <v>3298</v>
      </c>
    </row>
    <row r="1689" spans="1:3" x14ac:dyDescent="0.25">
      <c r="A1689" t="str">
        <f>"761190"</f>
        <v>761190</v>
      </c>
      <c r="B1689" t="s">
        <v>3299</v>
      </c>
      <c r="C1689" t="s">
        <v>3300</v>
      </c>
    </row>
    <row r="1690" spans="1:3" x14ac:dyDescent="0.25">
      <c r="A1690" t="str">
        <f>"762197"</f>
        <v>762197</v>
      </c>
      <c r="B1690" t="s">
        <v>3301</v>
      </c>
      <c r="C1690" t="s">
        <v>3302</v>
      </c>
    </row>
    <row r="1691" spans="1:3" x14ac:dyDescent="0.25">
      <c r="A1691" t="str">
        <f>"762198"</f>
        <v>762198</v>
      </c>
      <c r="B1691" t="s">
        <v>3303</v>
      </c>
      <c r="C1691" t="s">
        <v>3304</v>
      </c>
    </row>
    <row r="1692" spans="1:3" x14ac:dyDescent="0.25">
      <c r="A1692" t="str">
        <f>"763078"</f>
        <v>763078</v>
      </c>
      <c r="B1692" t="s">
        <v>3305</v>
      </c>
      <c r="C1692" t="s">
        <v>3306</v>
      </c>
    </row>
    <row r="1693" spans="1:3" x14ac:dyDescent="0.25">
      <c r="A1693" t="str">
        <f>"763079"</f>
        <v>763079</v>
      </c>
      <c r="B1693" t="s">
        <v>3307</v>
      </c>
      <c r="C1693" t="s">
        <v>3308</v>
      </c>
    </row>
    <row r="1694" spans="1:3" x14ac:dyDescent="0.25">
      <c r="A1694" t="str">
        <f>"764234"</f>
        <v>764234</v>
      </c>
      <c r="B1694" t="s">
        <v>3309</v>
      </c>
      <c r="C1694" t="s">
        <v>3310</v>
      </c>
    </row>
    <row r="1695" spans="1:3" x14ac:dyDescent="0.25">
      <c r="A1695" t="str">
        <f>"764235"</f>
        <v>764235</v>
      </c>
      <c r="B1695" t="s">
        <v>3311</v>
      </c>
      <c r="C1695" t="s">
        <v>3312</v>
      </c>
    </row>
    <row r="1696" spans="1:3" x14ac:dyDescent="0.25">
      <c r="A1696" t="str">
        <f>"764246"</f>
        <v>764246</v>
      </c>
      <c r="B1696" t="s">
        <v>3313</v>
      </c>
      <c r="C1696" t="s">
        <v>3314</v>
      </c>
    </row>
    <row r="1697" spans="1:3" x14ac:dyDescent="0.25">
      <c r="A1697" t="str">
        <f>"764240"</f>
        <v>764240</v>
      </c>
      <c r="B1697" t="s">
        <v>3315</v>
      </c>
      <c r="C1697" t="s">
        <v>3316</v>
      </c>
    </row>
    <row r="1698" spans="1:3" x14ac:dyDescent="0.25">
      <c r="A1698" t="str">
        <f>"764236"</f>
        <v>764236</v>
      </c>
      <c r="B1698" t="s">
        <v>3317</v>
      </c>
      <c r="C1698" t="s">
        <v>3318</v>
      </c>
    </row>
    <row r="1699" spans="1:3" x14ac:dyDescent="0.25">
      <c r="A1699" t="str">
        <f>"764237"</f>
        <v>764237</v>
      </c>
      <c r="B1699" t="s">
        <v>3319</v>
      </c>
      <c r="C1699" t="s">
        <v>3320</v>
      </c>
    </row>
    <row r="1700" spans="1:3" x14ac:dyDescent="0.25">
      <c r="A1700" t="str">
        <f>"764245"</f>
        <v>764245</v>
      </c>
      <c r="B1700" t="s">
        <v>3321</v>
      </c>
      <c r="C1700" t="s">
        <v>3322</v>
      </c>
    </row>
    <row r="1701" spans="1:3" x14ac:dyDescent="0.25">
      <c r="A1701" t="str">
        <f>"764244"</f>
        <v>764244</v>
      </c>
      <c r="B1701" t="s">
        <v>3323</v>
      </c>
      <c r="C1701" t="s">
        <v>3324</v>
      </c>
    </row>
    <row r="1702" spans="1:3" x14ac:dyDescent="0.25">
      <c r="A1702" t="str">
        <f>"764242"</f>
        <v>764242</v>
      </c>
      <c r="B1702" t="s">
        <v>3325</v>
      </c>
      <c r="C1702" t="s">
        <v>3326</v>
      </c>
    </row>
    <row r="1703" spans="1:3" x14ac:dyDescent="0.25">
      <c r="A1703" t="str">
        <f>"764241"</f>
        <v>764241</v>
      </c>
      <c r="B1703" t="s">
        <v>3327</v>
      </c>
      <c r="C1703" t="s">
        <v>3328</v>
      </c>
    </row>
    <row r="1704" spans="1:3" x14ac:dyDescent="0.25">
      <c r="A1704" t="str">
        <f>"764238"</f>
        <v>764238</v>
      </c>
      <c r="B1704" t="s">
        <v>3329</v>
      </c>
      <c r="C1704" t="s">
        <v>3330</v>
      </c>
    </row>
    <row r="1705" spans="1:3" x14ac:dyDescent="0.25">
      <c r="A1705" t="str">
        <f>"764239"</f>
        <v>764239</v>
      </c>
      <c r="B1705" t="s">
        <v>3331</v>
      </c>
      <c r="C1705" t="s">
        <v>3332</v>
      </c>
    </row>
    <row r="1706" spans="1:3" x14ac:dyDescent="0.25">
      <c r="A1706" t="str">
        <f>"764243"</f>
        <v>764243</v>
      </c>
      <c r="B1706" t="s">
        <v>3333</v>
      </c>
      <c r="C1706" t="s">
        <v>3334</v>
      </c>
    </row>
    <row r="1707" spans="1:3" x14ac:dyDescent="0.25">
      <c r="A1707" t="str">
        <f>"761192"</f>
        <v>761192</v>
      </c>
      <c r="B1707" t="s">
        <v>3335</v>
      </c>
      <c r="C1707" t="s">
        <v>3336</v>
      </c>
    </row>
    <row r="1708" spans="1:3" x14ac:dyDescent="0.25">
      <c r="A1708" t="str">
        <f>"761191"</f>
        <v>761191</v>
      </c>
      <c r="B1708" t="s">
        <v>3337</v>
      </c>
      <c r="C1708" t="s">
        <v>3338</v>
      </c>
    </row>
    <row r="1709" spans="1:3" x14ac:dyDescent="0.25">
      <c r="A1709" t="str">
        <f>"762201"</f>
        <v>762201</v>
      </c>
      <c r="B1709" t="s">
        <v>3339</v>
      </c>
      <c r="C1709" t="s">
        <v>3340</v>
      </c>
    </row>
    <row r="1710" spans="1:3" x14ac:dyDescent="0.25">
      <c r="A1710" t="str">
        <f>"762199"</f>
        <v>762199</v>
      </c>
      <c r="B1710" t="s">
        <v>3341</v>
      </c>
      <c r="C1710" t="s">
        <v>3342</v>
      </c>
    </row>
    <row r="1711" spans="1:3" x14ac:dyDescent="0.25">
      <c r="A1711" t="str">
        <f>"762200"</f>
        <v>762200</v>
      </c>
      <c r="B1711" t="s">
        <v>3343</v>
      </c>
      <c r="C1711" t="s">
        <v>3344</v>
      </c>
    </row>
    <row r="1712" spans="1:3" x14ac:dyDescent="0.25">
      <c r="A1712" t="str">
        <f>"763080"</f>
        <v>763080</v>
      </c>
      <c r="B1712" t="s">
        <v>3345</v>
      </c>
      <c r="C1712" t="s">
        <v>3346</v>
      </c>
    </row>
    <row r="1713" spans="1:3" x14ac:dyDescent="0.25">
      <c r="A1713" t="str">
        <f>"763081"</f>
        <v>763081</v>
      </c>
      <c r="B1713" t="s">
        <v>3347</v>
      </c>
      <c r="C1713" t="s">
        <v>3348</v>
      </c>
    </row>
    <row r="1714" spans="1:3" x14ac:dyDescent="0.25">
      <c r="A1714" t="str">
        <f>"762203"</f>
        <v>762203</v>
      </c>
      <c r="B1714" t="s">
        <v>3349</v>
      </c>
      <c r="C1714" t="s">
        <v>3350</v>
      </c>
    </row>
    <row r="1715" spans="1:3" x14ac:dyDescent="0.25">
      <c r="A1715" t="str">
        <f>"762202"</f>
        <v>762202</v>
      </c>
      <c r="B1715" t="s">
        <v>3351</v>
      </c>
      <c r="C1715" t="s">
        <v>3352</v>
      </c>
    </row>
    <row r="1716" spans="1:3" x14ac:dyDescent="0.25">
      <c r="A1716" t="str">
        <f>"761193"</f>
        <v>761193</v>
      </c>
      <c r="B1716" t="s">
        <v>3353</v>
      </c>
      <c r="C1716" t="s">
        <v>3354</v>
      </c>
    </row>
    <row r="1717" spans="1:3" x14ac:dyDescent="0.25">
      <c r="A1717" t="str">
        <f>"764247"</f>
        <v>764247</v>
      </c>
      <c r="B1717" t="s">
        <v>3355</v>
      </c>
      <c r="C1717" t="s">
        <v>3356</v>
      </c>
    </row>
    <row r="1718" spans="1:3" x14ac:dyDescent="0.25">
      <c r="A1718" t="str">
        <f>"764248"</f>
        <v>764248</v>
      </c>
      <c r="B1718" t="s">
        <v>3357</v>
      </c>
      <c r="C1718" t="s">
        <v>3358</v>
      </c>
    </row>
    <row r="1719" spans="1:3" x14ac:dyDescent="0.25">
      <c r="A1719" t="str">
        <f>"764249"</f>
        <v>764249</v>
      </c>
      <c r="B1719" t="s">
        <v>3359</v>
      </c>
      <c r="C1719" t="s">
        <v>3360</v>
      </c>
    </row>
    <row r="1720" spans="1:3" x14ac:dyDescent="0.25">
      <c r="A1720" t="str">
        <f>"766001"</f>
        <v>766001</v>
      </c>
      <c r="B1720" t="s">
        <v>3361</v>
      </c>
      <c r="C1720" t="s">
        <v>3362</v>
      </c>
    </row>
    <row r="1721" spans="1:3" x14ac:dyDescent="0.25">
      <c r="A1721" t="str">
        <f>"762204"</f>
        <v>762204</v>
      </c>
      <c r="B1721" t="s">
        <v>3363</v>
      </c>
      <c r="C1721" t="s">
        <v>3364</v>
      </c>
    </row>
    <row r="1722" spans="1:3" x14ac:dyDescent="0.25">
      <c r="A1722" t="str">
        <f>"762205"</f>
        <v>762205</v>
      </c>
      <c r="B1722" t="s">
        <v>3365</v>
      </c>
      <c r="C1722" t="s">
        <v>3366</v>
      </c>
    </row>
    <row r="1723" spans="1:3" x14ac:dyDescent="0.25">
      <c r="A1723" t="str">
        <f>"762206"</f>
        <v>762206</v>
      </c>
      <c r="B1723" t="s">
        <v>3367</v>
      </c>
      <c r="C1723" t="s">
        <v>3368</v>
      </c>
    </row>
    <row r="1724" spans="1:3" x14ac:dyDescent="0.25">
      <c r="A1724" t="str">
        <f>"762207"</f>
        <v>762207</v>
      </c>
      <c r="B1724" t="s">
        <v>3369</v>
      </c>
      <c r="C1724" t="s">
        <v>3370</v>
      </c>
    </row>
    <row r="1725" spans="1:3" x14ac:dyDescent="0.25">
      <c r="A1725" t="str">
        <f>"763082"</f>
        <v>763082</v>
      </c>
      <c r="B1725" t="s">
        <v>3371</v>
      </c>
      <c r="C1725" t="s">
        <v>3372</v>
      </c>
    </row>
    <row r="1726" spans="1:3" x14ac:dyDescent="0.25">
      <c r="A1726" t="str">
        <f>"764252"</f>
        <v>764252</v>
      </c>
      <c r="B1726" t="s">
        <v>3373</v>
      </c>
      <c r="C1726" t="s">
        <v>3374</v>
      </c>
    </row>
    <row r="1727" spans="1:3" x14ac:dyDescent="0.25">
      <c r="A1727" t="str">
        <f>"764253"</f>
        <v>764253</v>
      </c>
      <c r="B1727" t="s">
        <v>3375</v>
      </c>
      <c r="C1727" t="s">
        <v>3376</v>
      </c>
    </row>
    <row r="1728" spans="1:3" x14ac:dyDescent="0.25">
      <c r="A1728" t="str">
        <f>"764251"</f>
        <v>764251</v>
      </c>
      <c r="B1728" t="s">
        <v>3377</v>
      </c>
      <c r="C1728" t="s">
        <v>3378</v>
      </c>
    </row>
    <row r="1729" spans="1:3" x14ac:dyDescent="0.25">
      <c r="A1729" t="str">
        <f>"764250"</f>
        <v>764250</v>
      </c>
      <c r="B1729" t="s">
        <v>3379</v>
      </c>
      <c r="C1729" t="s">
        <v>3380</v>
      </c>
    </row>
    <row r="1730" spans="1:3" x14ac:dyDescent="0.25">
      <c r="A1730" t="str">
        <f>"764254"</f>
        <v>764254</v>
      </c>
      <c r="B1730" t="s">
        <v>3381</v>
      </c>
      <c r="C1730" t="s">
        <v>3382</v>
      </c>
    </row>
    <row r="1731" spans="1:3" x14ac:dyDescent="0.25">
      <c r="A1731" t="str">
        <f>"764255"</f>
        <v>764255</v>
      </c>
      <c r="B1731" t="s">
        <v>3383</v>
      </c>
      <c r="C1731" t="s">
        <v>3384</v>
      </c>
    </row>
    <row r="1732" spans="1:3" x14ac:dyDescent="0.25">
      <c r="A1732" t="str">
        <f>"764256"</f>
        <v>764256</v>
      </c>
      <c r="B1732" t="s">
        <v>3385</v>
      </c>
      <c r="C1732" t="s">
        <v>3386</v>
      </c>
    </row>
    <row r="1733" spans="1:3" x14ac:dyDescent="0.25">
      <c r="A1733" t="str">
        <f>"764257"</f>
        <v>764257</v>
      </c>
      <c r="B1733" t="s">
        <v>3387</v>
      </c>
      <c r="C1733" t="s">
        <v>3388</v>
      </c>
    </row>
    <row r="1734" spans="1:3" x14ac:dyDescent="0.25">
      <c r="A1734" t="str">
        <f>"763083"</f>
        <v>763083</v>
      </c>
      <c r="B1734" t="s">
        <v>3389</v>
      </c>
      <c r="C1734" t="s">
        <v>3390</v>
      </c>
    </row>
    <row r="1735" spans="1:3" x14ac:dyDescent="0.25">
      <c r="A1735" t="str">
        <f>"763084"</f>
        <v>763084</v>
      </c>
      <c r="B1735" t="s">
        <v>3391</v>
      </c>
      <c r="C1735" t="s">
        <v>3392</v>
      </c>
    </row>
    <row r="1736" spans="1:3" x14ac:dyDescent="0.25">
      <c r="A1736" t="str">
        <f>"763085"</f>
        <v>763085</v>
      </c>
      <c r="B1736" t="s">
        <v>3393</v>
      </c>
      <c r="C1736" t="s">
        <v>3394</v>
      </c>
    </row>
    <row r="1737" spans="1:3" x14ac:dyDescent="0.25">
      <c r="A1737" t="str">
        <f>"763086"</f>
        <v>763086</v>
      </c>
      <c r="B1737" t="s">
        <v>3395</v>
      </c>
      <c r="C1737" t="s">
        <v>3396</v>
      </c>
    </row>
    <row r="1738" spans="1:3" x14ac:dyDescent="0.25">
      <c r="A1738" t="str">
        <f>"762208"</f>
        <v>762208</v>
      </c>
      <c r="B1738" t="s">
        <v>3397</v>
      </c>
      <c r="C1738" t="s">
        <v>3398</v>
      </c>
    </row>
    <row r="1739" spans="1:3" x14ac:dyDescent="0.25">
      <c r="A1739" t="str">
        <f>"765014"</f>
        <v>765014</v>
      </c>
      <c r="B1739" t="s">
        <v>3399</v>
      </c>
      <c r="C1739" t="s">
        <v>3400</v>
      </c>
    </row>
    <row r="1740" spans="1:3" x14ac:dyDescent="0.25">
      <c r="A1740" t="str">
        <f>"764258"</f>
        <v>764258</v>
      </c>
      <c r="B1740" t="s">
        <v>3401</v>
      </c>
      <c r="C1740" t="s">
        <v>3401</v>
      </c>
    </row>
    <row r="1741" spans="1:3" x14ac:dyDescent="0.25">
      <c r="A1741" t="str">
        <f>"763087"</f>
        <v>763087</v>
      </c>
      <c r="B1741" t="s">
        <v>3402</v>
      </c>
      <c r="C1741" t="s">
        <v>3402</v>
      </c>
    </row>
    <row r="1742" spans="1:3" x14ac:dyDescent="0.25">
      <c r="A1742" t="str">
        <f>"767049"</f>
        <v>767049</v>
      </c>
      <c r="B1742" t="s">
        <v>3403</v>
      </c>
      <c r="C1742" t="s">
        <v>3404</v>
      </c>
    </row>
    <row r="1743" spans="1:3" x14ac:dyDescent="0.25">
      <c r="A1743" t="str">
        <f>"764259"</f>
        <v>764259</v>
      </c>
      <c r="B1743" t="s">
        <v>3405</v>
      </c>
      <c r="C1743" t="s">
        <v>3406</v>
      </c>
    </row>
    <row r="1744" spans="1:3" x14ac:dyDescent="0.25">
      <c r="A1744" t="str">
        <f>"764260"</f>
        <v>764260</v>
      </c>
      <c r="B1744" t="s">
        <v>3407</v>
      </c>
      <c r="C1744" t="s">
        <v>3408</v>
      </c>
    </row>
    <row r="1745" spans="1:3" x14ac:dyDescent="0.25">
      <c r="A1745" t="str">
        <f>"763088"</f>
        <v>763088</v>
      </c>
      <c r="B1745" t="s">
        <v>3409</v>
      </c>
      <c r="C1745" t="s">
        <v>3410</v>
      </c>
    </row>
    <row r="1746" spans="1:3" x14ac:dyDescent="0.25">
      <c r="A1746" t="str">
        <f>"763089"</f>
        <v>763089</v>
      </c>
      <c r="B1746" t="s">
        <v>3411</v>
      </c>
      <c r="C1746" t="s">
        <v>3412</v>
      </c>
    </row>
    <row r="1747" spans="1:3" x14ac:dyDescent="0.25">
      <c r="A1747" t="str">
        <f>"763090"</f>
        <v>763090</v>
      </c>
      <c r="B1747" t="s">
        <v>3413</v>
      </c>
      <c r="C1747" t="s">
        <v>3414</v>
      </c>
    </row>
    <row r="1748" spans="1:3" x14ac:dyDescent="0.25">
      <c r="A1748" t="str">
        <f>"762209"</f>
        <v>762209</v>
      </c>
      <c r="B1748" t="s">
        <v>3415</v>
      </c>
      <c r="C1748" t="s">
        <v>3416</v>
      </c>
    </row>
    <row r="1749" spans="1:3" x14ac:dyDescent="0.25">
      <c r="A1749" t="str">
        <f>"762210"</f>
        <v>762210</v>
      </c>
      <c r="B1749" t="s">
        <v>3417</v>
      </c>
      <c r="C1749" t="s">
        <v>3418</v>
      </c>
    </row>
    <row r="1750" spans="1:3" x14ac:dyDescent="0.25">
      <c r="A1750" t="str">
        <f>"761194"</f>
        <v>761194</v>
      </c>
      <c r="B1750" t="s">
        <v>3419</v>
      </c>
      <c r="C1750" t="s">
        <v>3420</v>
      </c>
    </row>
    <row r="1751" spans="1:3" x14ac:dyDescent="0.25">
      <c r="A1751" t="str">
        <f>"765015"</f>
        <v>765015</v>
      </c>
      <c r="B1751" t="s">
        <v>3421</v>
      </c>
      <c r="C1751" t="s">
        <v>3422</v>
      </c>
    </row>
    <row r="1752" spans="1:3" x14ac:dyDescent="0.25">
      <c r="A1752" t="str">
        <f>"763091"</f>
        <v>763091</v>
      </c>
      <c r="B1752" t="s">
        <v>3423</v>
      </c>
      <c r="C1752" t="s">
        <v>3424</v>
      </c>
    </row>
    <row r="1753" spans="1:3" x14ac:dyDescent="0.25">
      <c r="A1753" t="str">
        <f>"763092"</f>
        <v>763092</v>
      </c>
      <c r="B1753" t="s">
        <v>3425</v>
      </c>
      <c r="C1753" t="s">
        <v>3426</v>
      </c>
    </row>
    <row r="1754" spans="1:3" x14ac:dyDescent="0.25">
      <c r="A1754" t="str">
        <f>"764261"</f>
        <v>764261</v>
      </c>
      <c r="B1754" t="s">
        <v>3427</v>
      </c>
      <c r="C1754" t="s">
        <v>3428</v>
      </c>
    </row>
    <row r="1755" spans="1:3" x14ac:dyDescent="0.25">
      <c r="A1755" t="str">
        <f>"764262"</f>
        <v>764262</v>
      </c>
      <c r="B1755" t="s">
        <v>3429</v>
      </c>
      <c r="C1755" t="s">
        <v>3430</v>
      </c>
    </row>
    <row r="1756" spans="1:3" x14ac:dyDescent="0.25">
      <c r="A1756" t="str">
        <f>"762211"</f>
        <v>762211</v>
      </c>
      <c r="B1756" t="s">
        <v>3431</v>
      </c>
      <c r="C1756" t="s">
        <v>3432</v>
      </c>
    </row>
    <row r="1757" spans="1:3" x14ac:dyDescent="0.25">
      <c r="A1757" t="str">
        <f>"761195"</f>
        <v>761195</v>
      </c>
      <c r="B1757" t="s">
        <v>3433</v>
      </c>
      <c r="C1757" t="s">
        <v>3434</v>
      </c>
    </row>
    <row r="1758" spans="1:3" x14ac:dyDescent="0.25">
      <c r="A1758" t="str">
        <f>"764263"</f>
        <v>764263</v>
      </c>
      <c r="B1758" t="s">
        <v>3435</v>
      </c>
      <c r="C1758" t="s">
        <v>3436</v>
      </c>
    </row>
    <row r="1759" spans="1:3" x14ac:dyDescent="0.25">
      <c r="A1759" t="str">
        <f>"8117P "</f>
        <v xml:space="preserve">8117P </v>
      </c>
      <c r="B1759" t="s">
        <v>3437</v>
      </c>
      <c r="C1759" t="s">
        <v>3438</v>
      </c>
    </row>
    <row r="1760" spans="1:3" x14ac:dyDescent="0.25">
      <c r="A1760" t="str">
        <f>"81175 "</f>
        <v xml:space="preserve">81175 </v>
      </c>
      <c r="B1760" t="s">
        <v>3439</v>
      </c>
      <c r="C1760" t="s">
        <v>3440</v>
      </c>
    </row>
    <row r="1761" spans="1:3" x14ac:dyDescent="0.25">
      <c r="A1761" t="str">
        <f>"81176 "</f>
        <v xml:space="preserve">81176 </v>
      </c>
      <c r="B1761" t="s">
        <v>3441</v>
      </c>
      <c r="C1761" t="s">
        <v>3442</v>
      </c>
    </row>
    <row r="1762" spans="1:3" x14ac:dyDescent="0.25">
      <c r="A1762" t="str">
        <f>"81177 "</f>
        <v xml:space="preserve">81177 </v>
      </c>
      <c r="B1762" t="s">
        <v>3443</v>
      </c>
      <c r="C1762" t="s">
        <v>3444</v>
      </c>
    </row>
    <row r="1763" spans="1:3" x14ac:dyDescent="0.25">
      <c r="A1763" t="str">
        <f>"81178 "</f>
        <v xml:space="preserve">81178 </v>
      </c>
      <c r="B1763" t="s">
        <v>3445</v>
      </c>
      <c r="C1763" t="s">
        <v>3446</v>
      </c>
    </row>
    <row r="1764" spans="1:3" x14ac:dyDescent="0.25">
      <c r="A1764" t="str">
        <f>"81781 "</f>
        <v xml:space="preserve">81781 </v>
      </c>
      <c r="B1764" t="s">
        <v>3447</v>
      </c>
      <c r="C1764" t="s">
        <v>3448</v>
      </c>
    </row>
    <row r="1765" spans="1:3" x14ac:dyDescent="0.25">
      <c r="A1765" t="str">
        <f>"761196"</f>
        <v>761196</v>
      </c>
      <c r="B1765" t="s">
        <v>3449</v>
      </c>
      <c r="C1765" t="s">
        <v>3450</v>
      </c>
    </row>
    <row r="1766" spans="1:3" x14ac:dyDescent="0.25">
      <c r="A1766" t="str">
        <f>"761197"</f>
        <v>761197</v>
      </c>
      <c r="B1766" t="s">
        <v>3451</v>
      </c>
      <c r="C1766" t="s">
        <v>3452</v>
      </c>
    </row>
    <row r="1767" spans="1:3" x14ac:dyDescent="0.25">
      <c r="A1767" t="str">
        <f>"763093"</f>
        <v>763093</v>
      </c>
      <c r="B1767" t="s">
        <v>3453</v>
      </c>
      <c r="C1767" t="s">
        <v>3454</v>
      </c>
    </row>
    <row r="1768" spans="1:3" x14ac:dyDescent="0.25">
      <c r="A1768" t="str">
        <f>"763094"</f>
        <v>763094</v>
      </c>
      <c r="B1768" t="s">
        <v>3455</v>
      </c>
      <c r="C1768" t="s">
        <v>3456</v>
      </c>
    </row>
    <row r="1769" spans="1:3" x14ac:dyDescent="0.25">
      <c r="A1769" t="str">
        <f>"763095"</f>
        <v>763095</v>
      </c>
      <c r="B1769" t="s">
        <v>3457</v>
      </c>
      <c r="C1769" t="s">
        <v>3458</v>
      </c>
    </row>
    <row r="1770" spans="1:3" x14ac:dyDescent="0.25">
      <c r="A1770" t="str">
        <f>"764264"</f>
        <v>764264</v>
      </c>
      <c r="B1770" t="s">
        <v>3459</v>
      </c>
      <c r="C1770" t="s">
        <v>3460</v>
      </c>
    </row>
    <row r="1771" spans="1:3" x14ac:dyDescent="0.25">
      <c r="A1771" t="str">
        <f>"764265"</f>
        <v>764265</v>
      </c>
      <c r="B1771" t="s">
        <v>3461</v>
      </c>
      <c r="C1771" t="s">
        <v>3462</v>
      </c>
    </row>
    <row r="1772" spans="1:3" x14ac:dyDescent="0.25">
      <c r="A1772" t="str">
        <f>"764266"</f>
        <v>764266</v>
      </c>
      <c r="B1772" t="s">
        <v>3463</v>
      </c>
      <c r="C1772" t="s">
        <v>3464</v>
      </c>
    </row>
    <row r="1773" spans="1:3" x14ac:dyDescent="0.25">
      <c r="A1773" t="str">
        <f>"764267"</f>
        <v>764267</v>
      </c>
      <c r="B1773" t="s">
        <v>3465</v>
      </c>
      <c r="C1773" t="s">
        <v>3466</v>
      </c>
    </row>
    <row r="1774" spans="1:3" x14ac:dyDescent="0.25">
      <c r="A1774" t="str">
        <f>"764268"</f>
        <v>764268</v>
      </c>
      <c r="B1774" t="s">
        <v>3467</v>
      </c>
      <c r="C1774" t="s">
        <v>3468</v>
      </c>
    </row>
    <row r="1775" spans="1:3" x14ac:dyDescent="0.25">
      <c r="A1775" t="str">
        <f>"764269"</f>
        <v>764269</v>
      </c>
      <c r="B1775" t="s">
        <v>3469</v>
      </c>
      <c r="C1775" t="s">
        <v>3470</v>
      </c>
    </row>
    <row r="1776" spans="1:3" x14ac:dyDescent="0.25">
      <c r="A1776" t="str">
        <f>"764270"</f>
        <v>764270</v>
      </c>
      <c r="B1776" t="s">
        <v>3471</v>
      </c>
      <c r="C1776" t="s">
        <v>3472</v>
      </c>
    </row>
    <row r="1777" spans="1:3" x14ac:dyDescent="0.25">
      <c r="A1777" t="str">
        <f>"761198"</f>
        <v>761198</v>
      </c>
      <c r="B1777" t="s">
        <v>3473</v>
      </c>
      <c r="C1777" t="s">
        <v>3474</v>
      </c>
    </row>
    <row r="1778" spans="1:3" x14ac:dyDescent="0.25">
      <c r="A1778" t="str">
        <f>"767050"</f>
        <v>767050</v>
      </c>
      <c r="B1778" t="s">
        <v>3475</v>
      </c>
      <c r="C1778" t="s">
        <v>3476</v>
      </c>
    </row>
    <row r="1779" spans="1:3" x14ac:dyDescent="0.25">
      <c r="A1779" t="str">
        <f>"767051"</f>
        <v>767051</v>
      </c>
      <c r="B1779" t="s">
        <v>3477</v>
      </c>
      <c r="C1779" t="s">
        <v>3478</v>
      </c>
    </row>
    <row r="1780" spans="1:3" x14ac:dyDescent="0.25">
      <c r="A1780" t="str">
        <f>"767052"</f>
        <v>767052</v>
      </c>
      <c r="B1780" t="s">
        <v>3479</v>
      </c>
      <c r="C1780" t="s">
        <v>3480</v>
      </c>
    </row>
    <row r="1781" spans="1:3" x14ac:dyDescent="0.25">
      <c r="A1781" t="str">
        <f>"767053"</f>
        <v>767053</v>
      </c>
      <c r="B1781" t="s">
        <v>3481</v>
      </c>
      <c r="C1781" t="s">
        <v>3482</v>
      </c>
    </row>
    <row r="1782" spans="1:3" x14ac:dyDescent="0.25">
      <c r="A1782" t="str">
        <f>"767054"</f>
        <v>767054</v>
      </c>
      <c r="B1782" t="s">
        <v>3483</v>
      </c>
      <c r="C1782" t="s">
        <v>3484</v>
      </c>
    </row>
    <row r="1783" spans="1:3" x14ac:dyDescent="0.25">
      <c r="A1783" t="str">
        <f>"767055"</f>
        <v>767055</v>
      </c>
      <c r="B1783" t="s">
        <v>3485</v>
      </c>
      <c r="C1783" t="s">
        <v>3486</v>
      </c>
    </row>
    <row r="1784" spans="1:3" x14ac:dyDescent="0.25">
      <c r="A1784" t="str">
        <f>"767056"</f>
        <v>767056</v>
      </c>
      <c r="B1784" t="s">
        <v>3487</v>
      </c>
      <c r="C1784" t="s">
        <v>3488</v>
      </c>
    </row>
    <row r="1785" spans="1:3" x14ac:dyDescent="0.25">
      <c r="A1785" t="str">
        <f>"75181 "</f>
        <v xml:space="preserve">75181 </v>
      </c>
      <c r="B1785" t="s">
        <v>3489</v>
      </c>
      <c r="C1785" t="s">
        <v>3490</v>
      </c>
    </row>
    <row r="1786" spans="1:3" x14ac:dyDescent="0.25">
      <c r="A1786" t="str">
        <f>"763096"</f>
        <v>763096</v>
      </c>
      <c r="B1786" t="s">
        <v>3491</v>
      </c>
      <c r="C1786" t="s">
        <v>3492</v>
      </c>
    </row>
    <row r="1787" spans="1:3" x14ac:dyDescent="0.25">
      <c r="A1787" t="str">
        <f>"764271"</f>
        <v>764271</v>
      </c>
      <c r="B1787" t="s">
        <v>3493</v>
      </c>
      <c r="C1787" t="s">
        <v>3494</v>
      </c>
    </row>
    <row r="1788" spans="1:3" x14ac:dyDescent="0.25">
      <c r="A1788" t="str">
        <f>"768001"</f>
        <v>768001</v>
      </c>
      <c r="B1788" t="s">
        <v>3495</v>
      </c>
      <c r="C1788" t="s">
        <v>3496</v>
      </c>
    </row>
    <row r="1789" spans="1:3" x14ac:dyDescent="0.25">
      <c r="A1789" t="str">
        <f>"768002"</f>
        <v>768002</v>
      </c>
      <c r="B1789" t="s">
        <v>3497</v>
      </c>
      <c r="C1789" t="s">
        <v>3498</v>
      </c>
    </row>
    <row r="1790" spans="1:3" x14ac:dyDescent="0.25">
      <c r="A1790" t="str">
        <f>"768003"</f>
        <v>768003</v>
      </c>
      <c r="B1790" t="s">
        <v>3499</v>
      </c>
      <c r="C1790" t="s">
        <v>3500</v>
      </c>
    </row>
    <row r="1791" spans="1:3" x14ac:dyDescent="0.25">
      <c r="A1791" t="str">
        <f>"768004"</f>
        <v>768004</v>
      </c>
      <c r="B1791" t="s">
        <v>3501</v>
      </c>
      <c r="C1791" t="s">
        <v>3502</v>
      </c>
    </row>
    <row r="1792" spans="1:3" x14ac:dyDescent="0.25">
      <c r="A1792" t="str">
        <f>"811814"</f>
        <v>811814</v>
      </c>
      <c r="B1792" t="s">
        <v>3503</v>
      </c>
      <c r="C1792" t="s">
        <v>3504</v>
      </c>
    </row>
    <row r="1793" spans="1:3" x14ac:dyDescent="0.25">
      <c r="A1793" t="str">
        <f>"81546 "</f>
        <v xml:space="preserve">81546 </v>
      </c>
      <c r="B1793" t="s">
        <v>3505</v>
      </c>
      <c r="C1793" t="s">
        <v>3506</v>
      </c>
    </row>
    <row r="1794" spans="1:3" x14ac:dyDescent="0.25">
      <c r="A1794" t="str">
        <f>"767057"</f>
        <v>767057</v>
      </c>
      <c r="B1794" t="s">
        <v>3507</v>
      </c>
      <c r="C1794" t="s">
        <v>3508</v>
      </c>
    </row>
    <row r="1795" spans="1:3" x14ac:dyDescent="0.25">
      <c r="A1795" t="str">
        <f>"763097"</f>
        <v>763097</v>
      </c>
      <c r="B1795" t="s">
        <v>3509</v>
      </c>
      <c r="C1795" t="s">
        <v>3510</v>
      </c>
    </row>
    <row r="1796" spans="1:3" x14ac:dyDescent="0.25">
      <c r="A1796" t="str">
        <f>"763098"</f>
        <v>763098</v>
      </c>
      <c r="B1796" t="s">
        <v>3511</v>
      </c>
      <c r="C1796" t="s">
        <v>3512</v>
      </c>
    </row>
    <row r="1797" spans="1:3" x14ac:dyDescent="0.25">
      <c r="A1797" t="str">
        <f>"763099"</f>
        <v>763099</v>
      </c>
      <c r="B1797" t="s">
        <v>3513</v>
      </c>
      <c r="C1797" t="s">
        <v>3514</v>
      </c>
    </row>
    <row r="1798" spans="1:3" x14ac:dyDescent="0.25">
      <c r="A1798" t="str">
        <f>"761199"</f>
        <v>761199</v>
      </c>
      <c r="B1798" t="s">
        <v>3515</v>
      </c>
      <c r="C1798" t="s">
        <v>3516</v>
      </c>
    </row>
    <row r="1799" spans="1:3" x14ac:dyDescent="0.25">
      <c r="A1799" t="str">
        <f>"761200"</f>
        <v>761200</v>
      </c>
      <c r="B1799" t="s">
        <v>3473</v>
      </c>
      <c r="C1799" t="s">
        <v>3517</v>
      </c>
    </row>
    <row r="1800" spans="1:3" x14ac:dyDescent="0.25">
      <c r="A1800" t="str">
        <f>"764272"</f>
        <v>764272</v>
      </c>
      <c r="B1800" t="s">
        <v>3518</v>
      </c>
      <c r="C1800" t="s">
        <v>3519</v>
      </c>
    </row>
    <row r="1801" spans="1:3" x14ac:dyDescent="0.25">
      <c r="A1801" t="str">
        <f>"764273"</f>
        <v>764273</v>
      </c>
      <c r="B1801" t="s">
        <v>3520</v>
      </c>
      <c r="C1801" t="s">
        <v>3521</v>
      </c>
    </row>
    <row r="1802" spans="1:3" x14ac:dyDescent="0.25">
      <c r="A1802" t="str">
        <f>"764274"</f>
        <v>764274</v>
      </c>
      <c r="B1802" t="s">
        <v>3522</v>
      </c>
      <c r="C1802" t="s">
        <v>3523</v>
      </c>
    </row>
    <row r="1803" spans="1:3" x14ac:dyDescent="0.25">
      <c r="A1803" t="str">
        <f>"764275"</f>
        <v>764275</v>
      </c>
      <c r="B1803" t="s">
        <v>3524</v>
      </c>
      <c r="C1803" t="s">
        <v>3525</v>
      </c>
    </row>
    <row r="1804" spans="1:3" x14ac:dyDescent="0.25">
      <c r="A1804" t="str">
        <f>"811711"</f>
        <v>811711</v>
      </c>
      <c r="B1804" t="s">
        <v>3526</v>
      </c>
      <c r="C1804" t="s">
        <v>3527</v>
      </c>
    </row>
    <row r="1805" spans="1:3" x14ac:dyDescent="0.25">
      <c r="A1805" t="str">
        <f>"811712"</f>
        <v>811712</v>
      </c>
      <c r="B1805" t="s">
        <v>3528</v>
      </c>
      <c r="C1805" t="s">
        <v>3529</v>
      </c>
    </row>
    <row r="1806" spans="1:3" x14ac:dyDescent="0.25">
      <c r="A1806" t="str">
        <f>"761201"</f>
        <v>761201</v>
      </c>
      <c r="B1806" t="s">
        <v>3530</v>
      </c>
      <c r="C1806" t="s">
        <v>3531</v>
      </c>
    </row>
    <row r="1807" spans="1:3" x14ac:dyDescent="0.25">
      <c r="A1807" t="str">
        <f>"811713"</f>
        <v>811713</v>
      </c>
      <c r="B1807" t="s">
        <v>3532</v>
      </c>
      <c r="C1807" t="s">
        <v>3533</v>
      </c>
    </row>
    <row r="1808" spans="1:3" x14ac:dyDescent="0.25">
      <c r="A1808" t="str">
        <f>"761202"</f>
        <v>761202</v>
      </c>
      <c r="B1808" t="s">
        <v>3534</v>
      </c>
      <c r="C1808" t="s">
        <v>3535</v>
      </c>
    </row>
    <row r="1809" spans="1:3" x14ac:dyDescent="0.25">
      <c r="A1809" t="str">
        <f>"761203"</f>
        <v>761203</v>
      </c>
      <c r="B1809" t="s">
        <v>3536</v>
      </c>
      <c r="C1809" t="s">
        <v>3537</v>
      </c>
    </row>
    <row r="1810" spans="1:3" x14ac:dyDescent="0.25">
      <c r="A1810" t="str">
        <f>"761204"</f>
        <v>761204</v>
      </c>
      <c r="B1810" t="s">
        <v>3538</v>
      </c>
      <c r="C1810" t="s">
        <v>3539</v>
      </c>
    </row>
    <row r="1811" spans="1:3" x14ac:dyDescent="0.25">
      <c r="A1811" t="str">
        <f>"761205"</f>
        <v>761205</v>
      </c>
      <c r="B1811" t="s">
        <v>3540</v>
      </c>
      <c r="C1811" t="s">
        <v>3541</v>
      </c>
    </row>
    <row r="1812" spans="1:3" x14ac:dyDescent="0.25">
      <c r="A1812" t="str">
        <f>"761206"</f>
        <v>761206</v>
      </c>
      <c r="B1812" t="s">
        <v>3542</v>
      </c>
      <c r="C1812" t="s">
        <v>3543</v>
      </c>
    </row>
    <row r="1813" spans="1:3" x14ac:dyDescent="0.25">
      <c r="A1813" t="str">
        <f>"761207"</f>
        <v>761207</v>
      </c>
      <c r="B1813" t="s">
        <v>3544</v>
      </c>
      <c r="C1813" t="s">
        <v>3545</v>
      </c>
    </row>
    <row r="1814" spans="1:3" x14ac:dyDescent="0.25">
      <c r="A1814" t="str">
        <f>"761208"</f>
        <v>761208</v>
      </c>
      <c r="B1814" t="s">
        <v>3546</v>
      </c>
      <c r="C1814" t="s">
        <v>3547</v>
      </c>
    </row>
    <row r="1815" spans="1:3" x14ac:dyDescent="0.25">
      <c r="A1815" t="str">
        <f>"763100"</f>
        <v>763100</v>
      </c>
      <c r="B1815" t="s">
        <v>3548</v>
      </c>
      <c r="C1815" t="s">
        <v>3549</v>
      </c>
    </row>
    <row r="1816" spans="1:3" x14ac:dyDescent="0.25">
      <c r="A1816" t="str">
        <f>"763101"</f>
        <v>763101</v>
      </c>
      <c r="B1816" t="s">
        <v>3550</v>
      </c>
      <c r="C1816" t="s">
        <v>3551</v>
      </c>
    </row>
    <row r="1817" spans="1:3" x14ac:dyDescent="0.25">
      <c r="A1817" t="str">
        <f>"763102"</f>
        <v>763102</v>
      </c>
      <c r="B1817" t="s">
        <v>3552</v>
      </c>
      <c r="C1817" t="s">
        <v>3553</v>
      </c>
    </row>
    <row r="1818" spans="1:3" x14ac:dyDescent="0.25">
      <c r="A1818" t="str">
        <f>"763103"</f>
        <v>763103</v>
      </c>
      <c r="B1818" t="s">
        <v>3554</v>
      </c>
      <c r="C1818" t="s">
        <v>3555</v>
      </c>
    </row>
    <row r="1819" spans="1:3" x14ac:dyDescent="0.25">
      <c r="A1819" t="str">
        <f>"764276"</f>
        <v>764276</v>
      </c>
      <c r="B1819" t="s">
        <v>3556</v>
      </c>
      <c r="C1819" t="s">
        <v>3557</v>
      </c>
    </row>
    <row r="1820" spans="1:3" x14ac:dyDescent="0.25">
      <c r="A1820" t="str">
        <f>"764277"</f>
        <v>764277</v>
      </c>
      <c r="B1820" t="s">
        <v>3558</v>
      </c>
      <c r="C1820" t="s">
        <v>3559</v>
      </c>
    </row>
    <row r="1821" spans="1:3" x14ac:dyDescent="0.25">
      <c r="A1821" t="str">
        <f>"764278"</f>
        <v>764278</v>
      </c>
      <c r="B1821" t="s">
        <v>3560</v>
      </c>
      <c r="C1821" t="s">
        <v>3561</v>
      </c>
    </row>
    <row r="1822" spans="1:3" x14ac:dyDescent="0.25">
      <c r="A1822" t="str">
        <f>"764279"</f>
        <v>764279</v>
      </c>
      <c r="B1822" t="s">
        <v>3562</v>
      </c>
      <c r="C1822" t="s">
        <v>3563</v>
      </c>
    </row>
    <row r="1823" spans="1:3" x14ac:dyDescent="0.25">
      <c r="A1823" t="str">
        <f>"764280"</f>
        <v>764280</v>
      </c>
      <c r="B1823" t="s">
        <v>3564</v>
      </c>
      <c r="C1823" t="s">
        <v>3565</v>
      </c>
    </row>
    <row r="1824" spans="1:3" x14ac:dyDescent="0.25">
      <c r="A1824" t="str">
        <f>"764281"</f>
        <v>764281</v>
      </c>
      <c r="B1824" t="s">
        <v>3566</v>
      </c>
      <c r="C1824" t="s">
        <v>3567</v>
      </c>
    </row>
    <row r="1825" spans="1:3" x14ac:dyDescent="0.25">
      <c r="A1825" t="str">
        <f>"764282"</f>
        <v>764282</v>
      </c>
      <c r="B1825" t="s">
        <v>3568</v>
      </c>
      <c r="C1825" t="s">
        <v>3569</v>
      </c>
    </row>
    <row r="1826" spans="1:3" x14ac:dyDescent="0.25">
      <c r="A1826" t="str">
        <f>"764283"</f>
        <v>764283</v>
      </c>
      <c r="B1826" t="s">
        <v>3570</v>
      </c>
      <c r="C1826" t="s">
        <v>3571</v>
      </c>
    </row>
    <row r="1827" spans="1:3" x14ac:dyDescent="0.25">
      <c r="A1827" t="str">
        <f>"764284"</f>
        <v>764284</v>
      </c>
      <c r="B1827" t="s">
        <v>3572</v>
      </c>
      <c r="C1827" t="s">
        <v>3573</v>
      </c>
    </row>
    <row r="1828" spans="1:3" x14ac:dyDescent="0.25">
      <c r="A1828" t="str">
        <f>"764285"</f>
        <v>764285</v>
      </c>
      <c r="B1828" t="s">
        <v>3574</v>
      </c>
      <c r="C1828" t="s">
        <v>3575</v>
      </c>
    </row>
    <row r="1829" spans="1:3" x14ac:dyDescent="0.25">
      <c r="A1829" t="str">
        <f>"764286"</f>
        <v>764286</v>
      </c>
      <c r="B1829" t="s">
        <v>3576</v>
      </c>
      <c r="C1829" t="s">
        <v>3577</v>
      </c>
    </row>
    <row r="1830" spans="1:3" x14ac:dyDescent="0.25">
      <c r="A1830" t="str">
        <f>"764287"</f>
        <v>764287</v>
      </c>
      <c r="B1830" t="s">
        <v>3578</v>
      </c>
      <c r="C1830" t="s">
        <v>3579</v>
      </c>
    </row>
    <row r="1831" spans="1:3" x14ac:dyDescent="0.25">
      <c r="A1831" t="str">
        <f>"762212"</f>
        <v>762212</v>
      </c>
      <c r="B1831" t="s">
        <v>3580</v>
      </c>
      <c r="C1831" t="s">
        <v>3581</v>
      </c>
    </row>
    <row r="1832" spans="1:3" x14ac:dyDescent="0.25">
      <c r="A1832" t="str">
        <f>"762213"</f>
        <v>762213</v>
      </c>
      <c r="B1832" t="s">
        <v>3582</v>
      </c>
      <c r="C1832" t="s">
        <v>3583</v>
      </c>
    </row>
    <row r="1833" spans="1:3" x14ac:dyDescent="0.25">
      <c r="A1833" t="str">
        <f>"762214"</f>
        <v>762214</v>
      </c>
      <c r="B1833" t="s">
        <v>3584</v>
      </c>
      <c r="C1833" t="s">
        <v>3585</v>
      </c>
    </row>
    <row r="1834" spans="1:3" x14ac:dyDescent="0.25">
      <c r="A1834" t="str">
        <f>"762215"</f>
        <v>762215</v>
      </c>
      <c r="B1834" t="s">
        <v>3586</v>
      </c>
      <c r="C1834" t="s">
        <v>3587</v>
      </c>
    </row>
    <row r="1835" spans="1:3" x14ac:dyDescent="0.25">
      <c r="A1835" t="str">
        <f>"762216"</f>
        <v>762216</v>
      </c>
      <c r="B1835" t="s">
        <v>3588</v>
      </c>
      <c r="C1835" t="s">
        <v>3589</v>
      </c>
    </row>
    <row r="1836" spans="1:3" x14ac:dyDescent="0.25">
      <c r="A1836" t="str">
        <f>"764288"</f>
        <v>764288</v>
      </c>
      <c r="B1836" t="s">
        <v>3590</v>
      </c>
      <c r="C1836" t="s">
        <v>3591</v>
      </c>
    </row>
    <row r="1837" spans="1:3" x14ac:dyDescent="0.25">
      <c r="A1837" t="str">
        <f>"764289"</f>
        <v>764289</v>
      </c>
      <c r="B1837" t="s">
        <v>3592</v>
      </c>
      <c r="C1837" t="s">
        <v>3593</v>
      </c>
    </row>
    <row r="1838" spans="1:3" x14ac:dyDescent="0.25">
      <c r="A1838" t="str">
        <f>"764290"</f>
        <v>764290</v>
      </c>
      <c r="B1838" t="s">
        <v>3594</v>
      </c>
      <c r="C1838" t="s">
        <v>3595</v>
      </c>
    </row>
    <row r="1839" spans="1:3" x14ac:dyDescent="0.25">
      <c r="A1839" t="str">
        <f>"764291"</f>
        <v>764291</v>
      </c>
      <c r="B1839" t="s">
        <v>3596</v>
      </c>
      <c r="C1839" t="s">
        <v>3597</v>
      </c>
    </row>
    <row r="1840" spans="1:3" x14ac:dyDescent="0.25">
      <c r="A1840" t="str">
        <f>"764292"</f>
        <v>764292</v>
      </c>
      <c r="B1840" t="s">
        <v>3598</v>
      </c>
      <c r="C1840" t="s">
        <v>3598</v>
      </c>
    </row>
    <row r="1841" spans="1:3" x14ac:dyDescent="0.25">
      <c r="A1841" t="str">
        <f>"764293"</f>
        <v>764293</v>
      </c>
      <c r="B1841" t="s">
        <v>3599</v>
      </c>
      <c r="C1841" t="s">
        <v>3600</v>
      </c>
    </row>
    <row r="1842" spans="1:3" x14ac:dyDescent="0.25">
      <c r="A1842" t="str">
        <f>"764294"</f>
        <v>764294</v>
      </c>
      <c r="B1842" t="s">
        <v>3601</v>
      </c>
      <c r="C1842" t="s">
        <v>3602</v>
      </c>
    </row>
    <row r="1843" spans="1:3" x14ac:dyDescent="0.25">
      <c r="A1843" t="str">
        <f>"764295"</f>
        <v>764295</v>
      </c>
      <c r="B1843" t="s">
        <v>3603</v>
      </c>
      <c r="C1843" t="s">
        <v>3604</v>
      </c>
    </row>
    <row r="1844" spans="1:3" x14ac:dyDescent="0.25">
      <c r="A1844" t="str">
        <f>"764296"</f>
        <v>764296</v>
      </c>
      <c r="B1844" t="s">
        <v>3605</v>
      </c>
      <c r="C1844" t="s">
        <v>3606</v>
      </c>
    </row>
    <row r="1845" spans="1:3" x14ac:dyDescent="0.25">
      <c r="A1845" t="str">
        <f>"764297"</f>
        <v>764297</v>
      </c>
      <c r="B1845" t="s">
        <v>3607</v>
      </c>
      <c r="C1845" t="s">
        <v>3608</v>
      </c>
    </row>
    <row r="1846" spans="1:3" x14ac:dyDescent="0.25">
      <c r="A1846" t="str">
        <f>"764298"</f>
        <v>764298</v>
      </c>
      <c r="B1846" t="s">
        <v>3609</v>
      </c>
      <c r="C1846" t="s">
        <v>3610</v>
      </c>
    </row>
    <row r="1847" spans="1:3" x14ac:dyDescent="0.25">
      <c r="A1847" t="str">
        <f>"764299"</f>
        <v>764299</v>
      </c>
      <c r="B1847" t="s">
        <v>3611</v>
      </c>
      <c r="C1847" t="s">
        <v>3612</v>
      </c>
    </row>
    <row r="1848" spans="1:3" x14ac:dyDescent="0.25">
      <c r="A1848" t="str">
        <f>"765016"</f>
        <v>765016</v>
      </c>
      <c r="B1848" t="s">
        <v>3613</v>
      </c>
      <c r="C1848" t="s">
        <v>3614</v>
      </c>
    </row>
    <row r="1849" spans="1:3" x14ac:dyDescent="0.25">
      <c r="A1849" t="str">
        <f>"767058"</f>
        <v>767058</v>
      </c>
      <c r="B1849" t="s">
        <v>3615</v>
      </c>
      <c r="C1849" t="s">
        <v>3616</v>
      </c>
    </row>
    <row r="1850" spans="1:3" x14ac:dyDescent="0.25">
      <c r="A1850" t="str">
        <f>"761209"</f>
        <v>761209</v>
      </c>
      <c r="B1850" t="s">
        <v>3617</v>
      </c>
      <c r="C1850" t="s">
        <v>3618</v>
      </c>
    </row>
    <row r="1851" spans="1:3" x14ac:dyDescent="0.25">
      <c r="A1851" t="str">
        <f>"767067"</f>
        <v>767067</v>
      </c>
      <c r="B1851" t="s">
        <v>3619</v>
      </c>
      <c r="C1851" t="s">
        <v>3620</v>
      </c>
    </row>
    <row r="1852" spans="1:3" x14ac:dyDescent="0.25">
      <c r="A1852" t="str">
        <f>"767059"</f>
        <v>767059</v>
      </c>
      <c r="B1852" t="s">
        <v>3621</v>
      </c>
      <c r="C1852" t="s">
        <v>3622</v>
      </c>
    </row>
    <row r="1853" spans="1:3" x14ac:dyDescent="0.25">
      <c r="A1853" t="str">
        <f>"767060"</f>
        <v>767060</v>
      </c>
      <c r="B1853" t="s">
        <v>3623</v>
      </c>
      <c r="C1853" t="s">
        <v>3624</v>
      </c>
    </row>
    <row r="1854" spans="1:3" x14ac:dyDescent="0.25">
      <c r="A1854" t="str">
        <f>"767066"</f>
        <v>767066</v>
      </c>
      <c r="B1854" t="s">
        <v>3625</v>
      </c>
      <c r="C1854" t="s">
        <v>3626</v>
      </c>
    </row>
    <row r="1855" spans="1:3" x14ac:dyDescent="0.25">
      <c r="A1855" t="str">
        <f>"764300"</f>
        <v>764300</v>
      </c>
      <c r="B1855" t="s">
        <v>3627</v>
      </c>
      <c r="C1855" t="s">
        <v>3628</v>
      </c>
    </row>
    <row r="1856" spans="1:3" x14ac:dyDescent="0.25">
      <c r="A1856" t="str">
        <f>"767061"</f>
        <v>767061</v>
      </c>
      <c r="B1856" t="s">
        <v>3629</v>
      </c>
      <c r="C1856" t="s">
        <v>3630</v>
      </c>
    </row>
    <row r="1857" spans="1:3" x14ac:dyDescent="0.25">
      <c r="A1857" t="str">
        <f>"767062"</f>
        <v>767062</v>
      </c>
      <c r="B1857" t="s">
        <v>3631</v>
      </c>
      <c r="C1857" t="s">
        <v>3632</v>
      </c>
    </row>
    <row r="1858" spans="1:3" x14ac:dyDescent="0.25">
      <c r="A1858" t="str">
        <f>"767063"</f>
        <v>767063</v>
      </c>
      <c r="B1858" t="s">
        <v>3633</v>
      </c>
      <c r="C1858" t="s">
        <v>3634</v>
      </c>
    </row>
    <row r="1859" spans="1:3" x14ac:dyDescent="0.25">
      <c r="A1859" t="str">
        <f>"767064"</f>
        <v>767064</v>
      </c>
      <c r="B1859" t="s">
        <v>3635</v>
      </c>
      <c r="C1859" t="s">
        <v>3636</v>
      </c>
    </row>
    <row r="1860" spans="1:3" x14ac:dyDescent="0.25">
      <c r="A1860" t="str">
        <f>"767065"</f>
        <v>767065</v>
      </c>
      <c r="B1860" t="s">
        <v>3637</v>
      </c>
      <c r="C1860" t="s">
        <v>3638</v>
      </c>
    </row>
    <row r="1861" spans="1:3" x14ac:dyDescent="0.25">
      <c r="A1861" t="str">
        <f>"761215"</f>
        <v>761215</v>
      </c>
      <c r="B1861" t="s">
        <v>3639</v>
      </c>
      <c r="C1861" t="s">
        <v>3640</v>
      </c>
    </row>
    <row r="1862" spans="1:3" x14ac:dyDescent="0.25">
      <c r="A1862" t="str">
        <f>"767068"</f>
        <v>767068</v>
      </c>
      <c r="B1862" t="s">
        <v>3641</v>
      </c>
      <c r="C1862" t="s">
        <v>3642</v>
      </c>
    </row>
    <row r="1863" spans="1:3" x14ac:dyDescent="0.25">
      <c r="A1863" t="str">
        <f>"764301"</f>
        <v>764301</v>
      </c>
      <c r="B1863" t="s">
        <v>3643</v>
      </c>
      <c r="C1863" t="s">
        <v>3644</v>
      </c>
    </row>
    <row r="1864" spans="1:3" x14ac:dyDescent="0.25">
      <c r="A1864" t="str">
        <f>"764302"</f>
        <v>764302</v>
      </c>
      <c r="B1864" t="s">
        <v>3645</v>
      </c>
      <c r="C1864" t="s">
        <v>3646</v>
      </c>
    </row>
    <row r="1865" spans="1:3" x14ac:dyDescent="0.25">
      <c r="A1865" t="str">
        <f>"762217"</f>
        <v>762217</v>
      </c>
      <c r="B1865" t="s">
        <v>3647</v>
      </c>
      <c r="C1865" t="s">
        <v>3648</v>
      </c>
    </row>
    <row r="1866" spans="1:3" x14ac:dyDescent="0.25">
      <c r="A1866" t="str">
        <f>"762218"</f>
        <v>762218</v>
      </c>
      <c r="B1866" t="s">
        <v>3649</v>
      </c>
      <c r="C1866" t="s">
        <v>3650</v>
      </c>
    </row>
    <row r="1867" spans="1:3" x14ac:dyDescent="0.25">
      <c r="A1867" t="str">
        <f>"763104"</f>
        <v>763104</v>
      </c>
      <c r="B1867" t="s">
        <v>3651</v>
      </c>
      <c r="C1867" t="s">
        <v>3652</v>
      </c>
    </row>
    <row r="1868" spans="1:3" x14ac:dyDescent="0.25">
      <c r="A1868" t="str">
        <f>"763105"</f>
        <v>763105</v>
      </c>
      <c r="B1868" t="s">
        <v>3653</v>
      </c>
      <c r="C1868" t="s">
        <v>3654</v>
      </c>
    </row>
    <row r="1869" spans="1:3" x14ac:dyDescent="0.25">
      <c r="A1869" t="str">
        <f>"761210"</f>
        <v>761210</v>
      </c>
      <c r="B1869" t="s">
        <v>3655</v>
      </c>
      <c r="C1869" t="s">
        <v>3656</v>
      </c>
    </row>
    <row r="1870" spans="1:3" x14ac:dyDescent="0.25">
      <c r="A1870" t="str">
        <f>"763106"</f>
        <v>763106</v>
      </c>
      <c r="B1870" t="s">
        <v>3657</v>
      </c>
      <c r="C1870" t="s">
        <v>3658</v>
      </c>
    </row>
    <row r="1871" spans="1:3" x14ac:dyDescent="0.25">
      <c r="A1871" t="str">
        <f>"762219"</f>
        <v>762219</v>
      </c>
      <c r="B1871" t="s">
        <v>3659</v>
      </c>
      <c r="C1871" t="s">
        <v>3660</v>
      </c>
    </row>
    <row r="1872" spans="1:3" x14ac:dyDescent="0.25">
      <c r="A1872" t="str">
        <f>"761211"</f>
        <v>761211</v>
      </c>
      <c r="B1872" t="s">
        <v>3661</v>
      </c>
      <c r="C1872" t="s">
        <v>3662</v>
      </c>
    </row>
    <row r="1873" spans="1:3" x14ac:dyDescent="0.25">
      <c r="A1873" t="str">
        <f>"761212"</f>
        <v>761212</v>
      </c>
      <c r="B1873" t="s">
        <v>3663</v>
      </c>
      <c r="C1873" t="s">
        <v>3664</v>
      </c>
    </row>
    <row r="1874" spans="1:3" x14ac:dyDescent="0.25">
      <c r="A1874" t="str">
        <f>"761213"</f>
        <v>761213</v>
      </c>
      <c r="B1874" t="s">
        <v>3665</v>
      </c>
      <c r="C1874" t="s">
        <v>3666</v>
      </c>
    </row>
    <row r="1875" spans="1:3" x14ac:dyDescent="0.25">
      <c r="A1875" t="str">
        <f>"764303"</f>
        <v>764303</v>
      </c>
      <c r="B1875" t="s">
        <v>3667</v>
      </c>
      <c r="C1875" t="s">
        <v>3668</v>
      </c>
    </row>
    <row r="1876" spans="1:3" x14ac:dyDescent="0.25">
      <c r="A1876" t="str">
        <f>"764304"</f>
        <v>764304</v>
      </c>
      <c r="B1876" t="s">
        <v>3669</v>
      </c>
      <c r="C1876" t="s">
        <v>3670</v>
      </c>
    </row>
    <row r="1877" spans="1:3" x14ac:dyDescent="0.25">
      <c r="A1877" t="str">
        <f>"761214"</f>
        <v>761214</v>
      </c>
      <c r="B1877" t="s">
        <v>3671</v>
      </c>
      <c r="C1877" t="s">
        <v>3672</v>
      </c>
    </row>
    <row r="1878" spans="1:3" x14ac:dyDescent="0.25">
      <c r="A1878" t="str">
        <f>"71102 "</f>
        <v xml:space="preserve">71102 </v>
      </c>
      <c r="B1878" t="s">
        <v>3673</v>
      </c>
      <c r="C1878" t="s">
        <v>3674</v>
      </c>
    </row>
    <row r="1879" spans="1:3" x14ac:dyDescent="0.25">
      <c r="A1879" t="str">
        <f>"761216"</f>
        <v>761216</v>
      </c>
      <c r="B1879" t="s">
        <v>3675</v>
      </c>
      <c r="C1879" t="s">
        <v>3676</v>
      </c>
    </row>
    <row r="1880" spans="1:3" x14ac:dyDescent="0.25">
      <c r="A1880" t="str">
        <f>"761217"</f>
        <v>761217</v>
      </c>
      <c r="B1880" t="s">
        <v>3677</v>
      </c>
      <c r="C1880" t="s">
        <v>3678</v>
      </c>
    </row>
    <row r="1881" spans="1:3" x14ac:dyDescent="0.25">
      <c r="A1881" t="str">
        <f>"761218"</f>
        <v>761218</v>
      </c>
      <c r="B1881" t="s">
        <v>3679</v>
      </c>
      <c r="C1881" t="s">
        <v>3680</v>
      </c>
    </row>
    <row r="1882" spans="1:3" x14ac:dyDescent="0.25">
      <c r="A1882" t="str">
        <f>"764305"</f>
        <v>764305</v>
      </c>
      <c r="B1882" t="s">
        <v>3681</v>
      </c>
      <c r="C1882" t="s">
        <v>3682</v>
      </c>
    </row>
    <row r="1883" spans="1:3" x14ac:dyDescent="0.25">
      <c r="A1883" t="str">
        <f>"764306"</f>
        <v>764306</v>
      </c>
      <c r="B1883" t="s">
        <v>3683</v>
      </c>
      <c r="C1883" t="s">
        <v>3684</v>
      </c>
    </row>
    <row r="1884" spans="1:3" x14ac:dyDescent="0.25">
      <c r="A1884" t="str">
        <f>"764307"</f>
        <v>764307</v>
      </c>
      <c r="B1884" t="s">
        <v>3685</v>
      </c>
      <c r="C1884" t="s">
        <v>3686</v>
      </c>
    </row>
    <row r="1885" spans="1:3" x14ac:dyDescent="0.25">
      <c r="A1885" t="str">
        <f>"764308"</f>
        <v>764308</v>
      </c>
      <c r="B1885" t="s">
        <v>3687</v>
      </c>
      <c r="C1885" t="s">
        <v>3688</v>
      </c>
    </row>
    <row r="1886" spans="1:3" x14ac:dyDescent="0.25">
      <c r="A1886" t="str">
        <f>"764309"</f>
        <v>764309</v>
      </c>
      <c r="B1886" t="s">
        <v>3689</v>
      </c>
      <c r="C1886" t="s">
        <v>3690</v>
      </c>
    </row>
    <row r="1887" spans="1:3" x14ac:dyDescent="0.25">
      <c r="A1887" t="str">
        <f>"762220"</f>
        <v>762220</v>
      </c>
      <c r="B1887" t="s">
        <v>3691</v>
      </c>
      <c r="C1887" t="s">
        <v>3692</v>
      </c>
    </row>
    <row r="1888" spans="1:3" x14ac:dyDescent="0.25">
      <c r="A1888" t="str">
        <f>"762221"</f>
        <v>762221</v>
      </c>
      <c r="B1888" t="s">
        <v>3693</v>
      </c>
      <c r="C1888" t="s">
        <v>3694</v>
      </c>
    </row>
    <row r="1889" spans="1:3" x14ac:dyDescent="0.25">
      <c r="A1889" t="str">
        <f>"764310"</f>
        <v>764310</v>
      </c>
      <c r="B1889" t="s">
        <v>3695</v>
      </c>
      <c r="C1889" t="s">
        <v>3696</v>
      </c>
    </row>
    <row r="1890" spans="1:3" x14ac:dyDescent="0.25">
      <c r="A1890" t="str">
        <f>"763107"</f>
        <v>763107</v>
      </c>
      <c r="B1890" t="s">
        <v>3697</v>
      </c>
      <c r="C1890" t="s">
        <v>3698</v>
      </c>
    </row>
    <row r="1891" spans="1:3" x14ac:dyDescent="0.25">
      <c r="A1891" t="str">
        <f>"81213 "</f>
        <v xml:space="preserve">81213 </v>
      </c>
      <c r="B1891" t="s">
        <v>3699</v>
      </c>
      <c r="C1891" t="s">
        <v>3700</v>
      </c>
    </row>
    <row r="1892" spans="1:3" x14ac:dyDescent="0.25">
      <c r="A1892" t="str">
        <f>"81214 "</f>
        <v xml:space="preserve">81214 </v>
      </c>
      <c r="B1892" t="s">
        <v>3701</v>
      </c>
      <c r="C1892" t="s">
        <v>3702</v>
      </c>
    </row>
    <row r="1893" spans="1:3" x14ac:dyDescent="0.25">
      <c r="A1893" t="str">
        <f>"81215 "</f>
        <v xml:space="preserve">81215 </v>
      </c>
      <c r="B1893" t="s">
        <v>3703</v>
      </c>
      <c r="C1893" t="s">
        <v>3704</v>
      </c>
    </row>
    <row r="1894" spans="1:3" x14ac:dyDescent="0.25">
      <c r="A1894" t="str">
        <f>"81216 "</f>
        <v xml:space="preserve">81216 </v>
      </c>
      <c r="B1894" t="s">
        <v>3705</v>
      </c>
      <c r="C1894" t="s">
        <v>3706</v>
      </c>
    </row>
    <row r="1895" spans="1:3" x14ac:dyDescent="0.25">
      <c r="A1895" t="str">
        <f>"81094 "</f>
        <v xml:space="preserve">81094 </v>
      </c>
      <c r="B1895" t="s">
        <v>3707</v>
      </c>
      <c r="C1895" t="s">
        <v>3708</v>
      </c>
    </row>
    <row r="1896" spans="1:3" x14ac:dyDescent="0.25">
      <c r="A1896" t="str">
        <f>"81095 "</f>
        <v xml:space="preserve">81095 </v>
      </c>
      <c r="B1896" t="s">
        <v>3709</v>
      </c>
      <c r="C1896" t="s">
        <v>3710</v>
      </c>
    </row>
    <row r="1897" spans="1:3" x14ac:dyDescent="0.25">
      <c r="A1897" t="str">
        <f>"81096 "</f>
        <v xml:space="preserve">81096 </v>
      </c>
      <c r="B1897" t="s">
        <v>3711</v>
      </c>
      <c r="C1897" t="s">
        <v>3712</v>
      </c>
    </row>
    <row r="1898" spans="1:3" x14ac:dyDescent="0.25">
      <c r="A1898" t="str">
        <f>"81097 "</f>
        <v xml:space="preserve">81097 </v>
      </c>
      <c r="B1898" t="s">
        <v>3713</v>
      </c>
      <c r="C1898" t="s">
        <v>3714</v>
      </c>
    </row>
    <row r="1899" spans="1:3" x14ac:dyDescent="0.25">
      <c r="A1899" t="str">
        <f>"81167 "</f>
        <v xml:space="preserve">81167 </v>
      </c>
      <c r="B1899" t="s">
        <v>3715</v>
      </c>
      <c r="C1899" t="s">
        <v>3716</v>
      </c>
    </row>
    <row r="1900" spans="1:3" x14ac:dyDescent="0.25">
      <c r="A1900" t="str">
        <f>"81166 "</f>
        <v xml:space="preserve">81166 </v>
      </c>
      <c r="B1900" t="s">
        <v>3717</v>
      </c>
      <c r="C1900" t="s">
        <v>3718</v>
      </c>
    </row>
    <row r="1901" spans="1:3" x14ac:dyDescent="0.25">
      <c r="A1901" t="str">
        <f>"81202 "</f>
        <v xml:space="preserve">81202 </v>
      </c>
      <c r="B1901" t="s">
        <v>3719</v>
      </c>
      <c r="C1901" t="s">
        <v>3720</v>
      </c>
    </row>
    <row r="1902" spans="1:3" x14ac:dyDescent="0.25">
      <c r="A1902" t="str">
        <f>"764311"</f>
        <v>764311</v>
      </c>
      <c r="B1902" t="s">
        <v>3721</v>
      </c>
      <c r="C1902" t="s">
        <v>3722</v>
      </c>
    </row>
    <row r="1903" spans="1:3" x14ac:dyDescent="0.25">
      <c r="A1903" t="str">
        <f>"764312"</f>
        <v>764312</v>
      </c>
      <c r="B1903" t="s">
        <v>3723</v>
      </c>
      <c r="C1903" t="s">
        <v>3724</v>
      </c>
    </row>
    <row r="1904" spans="1:3" x14ac:dyDescent="0.25">
      <c r="A1904" t="str">
        <f>"764313"</f>
        <v>764313</v>
      </c>
      <c r="B1904" t="s">
        <v>3725</v>
      </c>
      <c r="C1904" t="s">
        <v>3726</v>
      </c>
    </row>
    <row r="1905" spans="1:3" x14ac:dyDescent="0.25">
      <c r="A1905" t="str">
        <f>"764314"</f>
        <v>764314</v>
      </c>
      <c r="B1905" t="s">
        <v>3727</v>
      </c>
      <c r="C1905" t="s">
        <v>3728</v>
      </c>
    </row>
    <row r="1906" spans="1:3" x14ac:dyDescent="0.25">
      <c r="A1906" t="str">
        <f>"764315"</f>
        <v>764315</v>
      </c>
      <c r="B1906" t="s">
        <v>3729</v>
      </c>
      <c r="C1906" t="s">
        <v>3730</v>
      </c>
    </row>
    <row r="1907" spans="1:3" x14ac:dyDescent="0.25">
      <c r="A1907" t="str">
        <f>"764316"</f>
        <v>764316</v>
      </c>
      <c r="B1907" t="s">
        <v>3731</v>
      </c>
      <c r="C1907" t="s">
        <v>3732</v>
      </c>
    </row>
    <row r="1908" spans="1:3" x14ac:dyDescent="0.25">
      <c r="A1908" t="str">
        <f>"764317"</f>
        <v>764317</v>
      </c>
      <c r="B1908" t="s">
        <v>3733</v>
      </c>
      <c r="C1908" t="s">
        <v>3734</v>
      </c>
    </row>
    <row r="1909" spans="1:3" x14ac:dyDescent="0.25">
      <c r="A1909" t="str">
        <f>"764318"</f>
        <v>764318</v>
      </c>
      <c r="B1909" t="s">
        <v>3735</v>
      </c>
      <c r="C1909" t="s">
        <v>3736</v>
      </c>
    </row>
    <row r="1910" spans="1:3" x14ac:dyDescent="0.25">
      <c r="A1910" t="str">
        <f>"764319"</f>
        <v>764319</v>
      </c>
      <c r="B1910" t="s">
        <v>3737</v>
      </c>
      <c r="C1910" t="s">
        <v>3738</v>
      </c>
    </row>
    <row r="1911" spans="1:3" x14ac:dyDescent="0.25">
      <c r="A1911" t="str">
        <f>"761219"</f>
        <v>761219</v>
      </c>
      <c r="B1911" t="s">
        <v>3739</v>
      </c>
      <c r="C1911" t="s">
        <v>3740</v>
      </c>
    </row>
    <row r="1912" spans="1:3" x14ac:dyDescent="0.25">
      <c r="A1912" t="str">
        <f>"761220"</f>
        <v>761220</v>
      </c>
      <c r="B1912" t="s">
        <v>3741</v>
      </c>
      <c r="C1912" t="s">
        <v>3742</v>
      </c>
    </row>
    <row r="1913" spans="1:3" x14ac:dyDescent="0.25">
      <c r="A1913" t="str">
        <f>"761221"</f>
        <v>761221</v>
      </c>
      <c r="B1913" t="s">
        <v>3743</v>
      </c>
      <c r="C1913" t="s">
        <v>3744</v>
      </c>
    </row>
    <row r="1914" spans="1:3" x14ac:dyDescent="0.25">
      <c r="A1914" t="str">
        <f>"761222"</f>
        <v>761222</v>
      </c>
      <c r="B1914" t="s">
        <v>3745</v>
      </c>
      <c r="C1914" t="s">
        <v>3746</v>
      </c>
    </row>
    <row r="1915" spans="1:3" x14ac:dyDescent="0.25">
      <c r="A1915" t="str">
        <f>"761223"</f>
        <v>761223</v>
      </c>
      <c r="B1915" t="s">
        <v>3747</v>
      </c>
      <c r="C1915" t="s">
        <v>3748</v>
      </c>
    </row>
    <row r="1916" spans="1:3" x14ac:dyDescent="0.25">
      <c r="A1916" t="str">
        <f>"763108"</f>
        <v>763108</v>
      </c>
      <c r="B1916" t="s">
        <v>3749</v>
      </c>
      <c r="C1916" t="s">
        <v>3750</v>
      </c>
    </row>
    <row r="1917" spans="1:3" x14ac:dyDescent="0.25">
      <c r="A1917" t="str">
        <f>"763109"</f>
        <v>763109</v>
      </c>
      <c r="B1917" t="s">
        <v>3751</v>
      </c>
      <c r="C1917" t="s">
        <v>3752</v>
      </c>
    </row>
    <row r="1918" spans="1:3" x14ac:dyDescent="0.25">
      <c r="A1918" t="str">
        <f>"767069"</f>
        <v>767069</v>
      </c>
      <c r="B1918" t="s">
        <v>3753</v>
      </c>
      <c r="C1918" t="s">
        <v>3754</v>
      </c>
    </row>
    <row r="1919" spans="1:3" x14ac:dyDescent="0.25">
      <c r="A1919" t="str">
        <f>"81203 "</f>
        <v xml:space="preserve">81203 </v>
      </c>
      <c r="B1919" t="s">
        <v>3755</v>
      </c>
      <c r="C1919" t="s">
        <v>3756</v>
      </c>
    </row>
    <row r="1920" spans="1:3" x14ac:dyDescent="0.25">
      <c r="A1920" t="str">
        <f>"71103 "</f>
        <v xml:space="preserve">71103 </v>
      </c>
      <c r="B1920" t="s">
        <v>3757</v>
      </c>
      <c r="C1920" t="s">
        <v>3758</v>
      </c>
    </row>
    <row r="1921" spans="1:3" x14ac:dyDescent="0.25">
      <c r="A1921" t="str">
        <f>"764320"</f>
        <v>764320</v>
      </c>
      <c r="B1921" t="s">
        <v>3759</v>
      </c>
      <c r="C1921" t="s">
        <v>3760</v>
      </c>
    </row>
    <row r="1922" spans="1:3" x14ac:dyDescent="0.25">
      <c r="A1922" t="str">
        <f>"764321"</f>
        <v>764321</v>
      </c>
      <c r="B1922" t="s">
        <v>3761</v>
      </c>
      <c r="C1922" t="s">
        <v>3762</v>
      </c>
    </row>
    <row r="1923" spans="1:3" x14ac:dyDescent="0.25">
      <c r="A1923" t="str">
        <f>"764322"</f>
        <v>764322</v>
      </c>
      <c r="B1923" t="s">
        <v>3763</v>
      </c>
      <c r="C1923" t="s">
        <v>3764</v>
      </c>
    </row>
    <row r="1924" spans="1:3" x14ac:dyDescent="0.25">
      <c r="A1924" t="str">
        <f>"764323"</f>
        <v>764323</v>
      </c>
      <c r="B1924" t="s">
        <v>3765</v>
      </c>
      <c r="C1924" t="s">
        <v>3766</v>
      </c>
    </row>
    <row r="1925" spans="1:3" x14ac:dyDescent="0.25">
      <c r="A1925" t="str">
        <f>"764324"</f>
        <v>764324</v>
      </c>
      <c r="B1925" t="s">
        <v>3767</v>
      </c>
      <c r="C1925" t="s">
        <v>3768</v>
      </c>
    </row>
    <row r="1926" spans="1:3" x14ac:dyDescent="0.25">
      <c r="A1926" t="str">
        <f>"764325"</f>
        <v>764325</v>
      </c>
      <c r="B1926" t="s">
        <v>3769</v>
      </c>
      <c r="C1926" t="s">
        <v>3770</v>
      </c>
    </row>
    <row r="1927" spans="1:3" x14ac:dyDescent="0.25">
      <c r="A1927" t="str">
        <f>"764326"</f>
        <v>764326</v>
      </c>
      <c r="B1927" t="s">
        <v>3771</v>
      </c>
      <c r="C1927" t="s">
        <v>3772</v>
      </c>
    </row>
    <row r="1928" spans="1:3" x14ac:dyDescent="0.25">
      <c r="A1928" t="str">
        <f>"764327"</f>
        <v>764327</v>
      </c>
      <c r="B1928" t="s">
        <v>3773</v>
      </c>
      <c r="C1928" t="s">
        <v>3774</v>
      </c>
    </row>
    <row r="1929" spans="1:3" x14ac:dyDescent="0.25">
      <c r="A1929" t="str">
        <f>"764328"</f>
        <v>764328</v>
      </c>
      <c r="B1929" t="s">
        <v>3775</v>
      </c>
      <c r="C1929" t="s">
        <v>3776</v>
      </c>
    </row>
    <row r="1930" spans="1:3" x14ac:dyDescent="0.25">
      <c r="A1930" t="str">
        <f>"764329"</f>
        <v>764329</v>
      </c>
      <c r="B1930" t="s">
        <v>3777</v>
      </c>
      <c r="C1930" t="s">
        <v>3778</v>
      </c>
    </row>
    <row r="1931" spans="1:3" x14ac:dyDescent="0.25">
      <c r="A1931" t="str">
        <f>"764330"</f>
        <v>764330</v>
      </c>
      <c r="B1931" t="s">
        <v>3779</v>
      </c>
      <c r="C1931" t="s">
        <v>3780</v>
      </c>
    </row>
    <row r="1932" spans="1:3" x14ac:dyDescent="0.25">
      <c r="A1932" t="str">
        <f>"762222"</f>
        <v>762222</v>
      </c>
      <c r="B1932" t="s">
        <v>3781</v>
      </c>
      <c r="C1932" t="s">
        <v>3782</v>
      </c>
    </row>
    <row r="1933" spans="1:3" x14ac:dyDescent="0.25">
      <c r="A1933" t="str">
        <f>"762223"</f>
        <v>762223</v>
      </c>
      <c r="B1933" t="s">
        <v>3783</v>
      </c>
      <c r="C1933" t="s">
        <v>3784</v>
      </c>
    </row>
    <row r="1934" spans="1:3" x14ac:dyDescent="0.25">
      <c r="A1934" t="str">
        <f>"762224"</f>
        <v>762224</v>
      </c>
      <c r="B1934" t="s">
        <v>3785</v>
      </c>
      <c r="C1934" t="s">
        <v>3786</v>
      </c>
    </row>
    <row r="1935" spans="1:3" x14ac:dyDescent="0.25">
      <c r="A1935" t="str">
        <f>"762225"</f>
        <v>762225</v>
      </c>
      <c r="B1935" t="s">
        <v>3787</v>
      </c>
      <c r="C1935" t="s">
        <v>3788</v>
      </c>
    </row>
    <row r="1936" spans="1:3" x14ac:dyDescent="0.25">
      <c r="A1936" t="str">
        <f>"762226"</f>
        <v>762226</v>
      </c>
      <c r="B1936" t="s">
        <v>3789</v>
      </c>
      <c r="C1936" t="s">
        <v>3790</v>
      </c>
    </row>
    <row r="1937" spans="1:3" x14ac:dyDescent="0.25">
      <c r="A1937" t="str">
        <f>"762227"</f>
        <v>762227</v>
      </c>
      <c r="B1937" t="s">
        <v>3791</v>
      </c>
      <c r="C1937" t="s">
        <v>3792</v>
      </c>
    </row>
    <row r="1938" spans="1:3" x14ac:dyDescent="0.25">
      <c r="A1938" t="str">
        <f>"762228"</f>
        <v>762228</v>
      </c>
      <c r="B1938" t="s">
        <v>3793</v>
      </c>
      <c r="C1938" t="s">
        <v>3794</v>
      </c>
    </row>
    <row r="1939" spans="1:3" x14ac:dyDescent="0.25">
      <c r="A1939" t="str">
        <f>"761224"</f>
        <v>761224</v>
      </c>
      <c r="B1939" t="s">
        <v>3795</v>
      </c>
      <c r="C1939" t="s">
        <v>3796</v>
      </c>
    </row>
    <row r="1940" spans="1:3" x14ac:dyDescent="0.25">
      <c r="A1940" t="str">
        <f>"761225"</f>
        <v>761225</v>
      </c>
      <c r="B1940" t="s">
        <v>3797</v>
      </c>
      <c r="C1940" t="s">
        <v>3798</v>
      </c>
    </row>
    <row r="1941" spans="1:3" x14ac:dyDescent="0.25">
      <c r="A1941" t="str">
        <f>"761226"</f>
        <v>761226</v>
      </c>
      <c r="B1941" t="s">
        <v>3799</v>
      </c>
      <c r="C1941" t="s">
        <v>3800</v>
      </c>
    </row>
    <row r="1942" spans="1:3" x14ac:dyDescent="0.25">
      <c r="A1942" t="str">
        <f>"761227"</f>
        <v>761227</v>
      </c>
      <c r="B1942" t="s">
        <v>3801</v>
      </c>
      <c r="C1942" t="s">
        <v>3802</v>
      </c>
    </row>
    <row r="1943" spans="1:3" x14ac:dyDescent="0.25">
      <c r="A1943" t="str">
        <f>"761228"</f>
        <v>761228</v>
      </c>
      <c r="B1943" t="s">
        <v>3803</v>
      </c>
      <c r="C1943" t="s">
        <v>3804</v>
      </c>
    </row>
    <row r="1944" spans="1:3" x14ac:dyDescent="0.25">
      <c r="A1944" t="str">
        <f>"761229"</f>
        <v>761229</v>
      </c>
      <c r="B1944" t="s">
        <v>3805</v>
      </c>
      <c r="C1944" t="s">
        <v>3806</v>
      </c>
    </row>
    <row r="1945" spans="1:3" x14ac:dyDescent="0.25">
      <c r="A1945" t="str">
        <f>"763110"</f>
        <v>763110</v>
      </c>
      <c r="B1945" t="s">
        <v>3807</v>
      </c>
      <c r="C1945" t="s">
        <v>3808</v>
      </c>
    </row>
    <row r="1946" spans="1:3" x14ac:dyDescent="0.25">
      <c r="A1946" t="str">
        <f>"763111"</f>
        <v>763111</v>
      </c>
      <c r="B1946" t="s">
        <v>3809</v>
      </c>
      <c r="C1946" t="s">
        <v>3810</v>
      </c>
    </row>
    <row r="1947" spans="1:3" x14ac:dyDescent="0.25">
      <c r="A1947" t="str">
        <f>"763112"</f>
        <v>763112</v>
      </c>
      <c r="B1947" t="s">
        <v>3811</v>
      </c>
      <c r="C1947" t="s">
        <v>3812</v>
      </c>
    </row>
    <row r="1948" spans="1:3" x14ac:dyDescent="0.25">
      <c r="A1948" t="str">
        <f>"762229"</f>
        <v>762229</v>
      </c>
      <c r="B1948" t="s">
        <v>3813</v>
      </c>
      <c r="C1948" t="s">
        <v>3814</v>
      </c>
    </row>
    <row r="1949" spans="1:3" x14ac:dyDescent="0.25">
      <c r="A1949" t="str">
        <f>"762230"</f>
        <v>762230</v>
      </c>
      <c r="B1949" t="s">
        <v>3815</v>
      </c>
      <c r="C1949" t="s">
        <v>3816</v>
      </c>
    </row>
    <row r="1950" spans="1:3" x14ac:dyDescent="0.25">
      <c r="A1950" t="str">
        <f>"764331"</f>
        <v>764331</v>
      </c>
      <c r="B1950" t="s">
        <v>3817</v>
      </c>
      <c r="C1950" t="s">
        <v>3818</v>
      </c>
    </row>
    <row r="1951" spans="1:3" x14ac:dyDescent="0.25">
      <c r="A1951" t="str">
        <f>"764332"</f>
        <v>764332</v>
      </c>
      <c r="B1951" t="s">
        <v>3819</v>
      </c>
      <c r="C1951" t="s">
        <v>3820</v>
      </c>
    </row>
    <row r="1952" spans="1:3" x14ac:dyDescent="0.25">
      <c r="A1952" t="str">
        <f>"764333"</f>
        <v>764333</v>
      </c>
      <c r="B1952" t="s">
        <v>3821</v>
      </c>
      <c r="C1952" t="s">
        <v>3822</v>
      </c>
    </row>
    <row r="1953" spans="1:3" x14ac:dyDescent="0.25">
      <c r="A1953" t="str">
        <f>"765017"</f>
        <v>765017</v>
      </c>
      <c r="B1953" t="s">
        <v>3823</v>
      </c>
      <c r="C1953" t="s">
        <v>3824</v>
      </c>
    </row>
    <row r="1954" spans="1:3" x14ac:dyDescent="0.25">
      <c r="A1954" t="str">
        <f>"767070"</f>
        <v>767070</v>
      </c>
      <c r="B1954" t="s">
        <v>3825</v>
      </c>
      <c r="C1954" t="s">
        <v>3826</v>
      </c>
    </row>
    <row r="1955" spans="1:3" x14ac:dyDescent="0.25">
      <c r="A1955" t="str">
        <f>"764334"</f>
        <v>764334</v>
      </c>
      <c r="B1955" t="s">
        <v>3827</v>
      </c>
      <c r="C1955" t="s">
        <v>3828</v>
      </c>
    </row>
    <row r="1956" spans="1:3" x14ac:dyDescent="0.25">
      <c r="A1956" t="str">
        <f>"764335"</f>
        <v>764335</v>
      </c>
      <c r="B1956" t="s">
        <v>3829</v>
      </c>
      <c r="C1956" t="s">
        <v>3830</v>
      </c>
    </row>
    <row r="1957" spans="1:3" x14ac:dyDescent="0.25">
      <c r="A1957" t="str">
        <f>"764336"</f>
        <v>764336</v>
      </c>
      <c r="B1957" t="s">
        <v>3831</v>
      </c>
      <c r="C1957" t="s">
        <v>3832</v>
      </c>
    </row>
    <row r="1958" spans="1:3" x14ac:dyDescent="0.25">
      <c r="A1958" t="str">
        <f>"764337"</f>
        <v>764337</v>
      </c>
      <c r="B1958" t="s">
        <v>3833</v>
      </c>
      <c r="C1958" t="s">
        <v>3834</v>
      </c>
    </row>
    <row r="1959" spans="1:3" x14ac:dyDescent="0.25">
      <c r="A1959" t="str">
        <f>"763113"</f>
        <v>763113</v>
      </c>
      <c r="B1959" t="s">
        <v>3835</v>
      </c>
      <c r="C1959" t="s">
        <v>3836</v>
      </c>
    </row>
    <row r="1960" spans="1:3" x14ac:dyDescent="0.25">
      <c r="A1960" t="str">
        <f>"763114"</f>
        <v>763114</v>
      </c>
      <c r="B1960" t="s">
        <v>3837</v>
      </c>
      <c r="C1960" t="s">
        <v>3838</v>
      </c>
    </row>
    <row r="1961" spans="1:3" x14ac:dyDescent="0.25">
      <c r="A1961" t="str">
        <f>"762231"</f>
        <v>762231</v>
      </c>
      <c r="B1961" t="s">
        <v>3839</v>
      </c>
      <c r="C1961" t="s">
        <v>3840</v>
      </c>
    </row>
    <row r="1962" spans="1:3" x14ac:dyDescent="0.25">
      <c r="A1962" t="str">
        <f>"761230"</f>
        <v>761230</v>
      </c>
      <c r="B1962" t="s">
        <v>3841</v>
      </c>
      <c r="C1962" t="s">
        <v>3842</v>
      </c>
    </row>
    <row r="1963" spans="1:3" x14ac:dyDescent="0.25">
      <c r="A1963" t="str">
        <f>"761231"</f>
        <v>761231</v>
      </c>
      <c r="B1963" t="s">
        <v>3843</v>
      </c>
      <c r="C1963" t="s">
        <v>3844</v>
      </c>
    </row>
    <row r="1964" spans="1:3" x14ac:dyDescent="0.25">
      <c r="A1964" t="str">
        <f>"761232"</f>
        <v>761232</v>
      </c>
      <c r="B1964" t="s">
        <v>3845</v>
      </c>
      <c r="C1964" t="s">
        <v>3846</v>
      </c>
    </row>
    <row r="1965" spans="1:3" x14ac:dyDescent="0.25">
      <c r="A1965" t="str">
        <f>"761235"</f>
        <v>761235</v>
      </c>
      <c r="B1965" t="s">
        <v>3847</v>
      </c>
      <c r="C1965" t="s">
        <v>3848</v>
      </c>
    </row>
    <row r="1966" spans="1:3" x14ac:dyDescent="0.25">
      <c r="A1966" t="str">
        <f>"763115"</f>
        <v>763115</v>
      </c>
      <c r="B1966" t="s">
        <v>3849</v>
      </c>
      <c r="C1966" t="s">
        <v>3850</v>
      </c>
    </row>
    <row r="1967" spans="1:3" x14ac:dyDescent="0.25">
      <c r="A1967" t="str">
        <f>"761234"</f>
        <v>761234</v>
      </c>
      <c r="B1967" t="s">
        <v>3851</v>
      </c>
      <c r="C1967" t="s">
        <v>3852</v>
      </c>
    </row>
    <row r="1968" spans="1:3" x14ac:dyDescent="0.25">
      <c r="A1968" t="str">
        <f>"761237"</f>
        <v>761237</v>
      </c>
      <c r="B1968" t="s">
        <v>3853</v>
      </c>
      <c r="C1968" t="s">
        <v>3854</v>
      </c>
    </row>
    <row r="1969" spans="1:3" x14ac:dyDescent="0.25">
      <c r="A1969" t="str">
        <f>"764338"</f>
        <v>764338</v>
      </c>
      <c r="B1969" t="s">
        <v>3855</v>
      </c>
      <c r="C1969" t="s">
        <v>3856</v>
      </c>
    </row>
    <row r="1970" spans="1:3" x14ac:dyDescent="0.25">
      <c r="A1970" t="str">
        <f>"764340"</f>
        <v>764340</v>
      </c>
      <c r="B1970" t="s">
        <v>3857</v>
      </c>
      <c r="C1970" t="s">
        <v>3858</v>
      </c>
    </row>
    <row r="1971" spans="1:3" x14ac:dyDescent="0.25">
      <c r="A1971" t="str">
        <f>"764343"</f>
        <v>764343</v>
      </c>
      <c r="B1971" t="s">
        <v>3859</v>
      </c>
      <c r="C1971" t="s">
        <v>3860</v>
      </c>
    </row>
    <row r="1972" spans="1:3" x14ac:dyDescent="0.25">
      <c r="A1972" t="str">
        <f>"764345"</f>
        <v>764345</v>
      </c>
      <c r="B1972" t="s">
        <v>3861</v>
      </c>
      <c r="C1972" t="s">
        <v>3862</v>
      </c>
    </row>
    <row r="1973" spans="1:3" x14ac:dyDescent="0.25">
      <c r="A1973" t="str">
        <f>"764346"</f>
        <v>764346</v>
      </c>
      <c r="B1973" t="s">
        <v>3863</v>
      </c>
      <c r="C1973" t="s">
        <v>3864</v>
      </c>
    </row>
    <row r="1974" spans="1:3" x14ac:dyDescent="0.25">
      <c r="A1974" t="str">
        <f>"764347"</f>
        <v>764347</v>
      </c>
      <c r="B1974" t="s">
        <v>3865</v>
      </c>
      <c r="C1974" t="s">
        <v>3866</v>
      </c>
    </row>
    <row r="1975" spans="1:3" x14ac:dyDescent="0.25">
      <c r="A1975" t="str">
        <f>"762233"</f>
        <v>762233</v>
      </c>
      <c r="B1975" t="s">
        <v>3867</v>
      </c>
      <c r="C1975" t="s">
        <v>3868</v>
      </c>
    </row>
    <row r="1976" spans="1:3" x14ac:dyDescent="0.25">
      <c r="A1976" t="str">
        <f>"762234"</f>
        <v>762234</v>
      </c>
      <c r="B1976" t="s">
        <v>3869</v>
      </c>
      <c r="C1976" t="s">
        <v>3870</v>
      </c>
    </row>
    <row r="1977" spans="1:3" x14ac:dyDescent="0.25">
      <c r="A1977" t="str">
        <f>"767071"</f>
        <v>767071</v>
      </c>
      <c r="B1977" t="s">
        <v>3871</v>
      </c>
      <c r="C1977" t="s">
        <v>3872</v>
      </c>
    </row>
    <row r="1978" spans="1:3" x14ac:dyDescent="0.25">
      <c r="A1978" t="str">
        <f>"761233"</f>
        <v>761233</v>
      </c>
      <c r="B1978" t="s">
        <v>3873</v>
      </c>
      <c r="C1978" t="s">
        <v>3874</v>
      </c>
    </row>
    <row r="1979" spans="1:3" x14ac:dyDescent="0.25">
      <c r="A1979" t="str">
        <f>"761236"</f>
        <v>761236</v>
      </c>
      <c r="B1979" t="s">
        <v>3875</v>
      </c>
      <c r="C1979" t="s">
        <v>3876</v>
      </c>
    </row>
    <row r="1980" spans="1:3" x14ac:dyDescent="0.25">
      <c r="A1980" t="str">
        <f>"764339"</f>
        <v>764339</v>
      </c>
      <c r="B1980" t="s">
        <v>3877</v>
      </c>
      <c r="C1980" t="s">
        <v>3878</v>
      </c>
    </row>
    <row r="1981" spans="1:3" x14ac:dyDescent="0.25">
      <c r="A1981" t="str">
        <f>"764341"</f>
        <v>764341</v>
      </c>
      <c r="B1981" t="s">
        <v>3879</v>
      </c>
      <c r="C1981" t="s">
        <v>3880</v>
      </c>
    </row>
    <row r="1982" spans="1:3" x14ac:dyDescent="0.25">
      <c r="A1982" t="str">
        <f>"764342"</f>
        <v>764342</v>
      </c>
      <c r="B1982" t="s">
        <v>3881</v>
      </c>
      <c r="C1982" t="s">
        <v>3882</v>
      </c>
    </row>
    <row r="1983" spans="1:3" x14ac:dyDescent="0.25">
      <c r="A1983" t="str">
        <f>"764344"</f>
        <v>764344</v>
      </c>
      <c r="B1983" t="s">
        <v>3883</v>
      </c>
      <c r="C1983" t="s">
        <v>3884</v>
      </c>
    </row>
    <row r="1984" spans="1:3" x14ac:dyDescent="0.25">
      <c r="A1984" t="str">
        <f>"762232"</f>
        <v>762232</v>
      </c>
      <c r="B1984" t="s">
        <v>3885</v>
      </c>
      <c r="C1984" t="s">
        <v>3886</v>
      </c>
    </row>
    <row r="1985" spans="1:3" x14ac:dyDescent="0.25">
      <c r="A1985" t="str">
        <f>"8117G "</f>
        <v xml:space="preserve">8117G </v>
      </c>
      <c r="B1985" t="s">
        <v>3887</v>
      </c>
      <c r="C1985" t="s">
        <v>3888</v>
      </c>
    </row>
    <row r="1986" spans="1:3" x14ac:dyDescent="0.25">
      <c r="A1986" t="str">
        <f>"8134M1"</f>
        <v>8134M1</v>
      </c>
      <c r="B1986" t="s">
        <v>3889</v>
      </c>
      <c r="C1986" t="s">
        <v>3890</v>
      </c>
    </row>
    <row r="1987" spans="1:3" x14ac:dyDescent="0.25">
      <c r="A1987" t="str">
        <f>"8133M1"</f>
        <v>8133M1</v>
      </c>
      <c r="B1987" t="s">
        <v>3891</v>
      </c>
      <c r="C1987" t="s">
        <v>3892</v>
      </c>
    </row>
    <row r="1988" spans="1:3" x14ac:dyDescent="0.25">
      <c r="A1988" t="str">
        <f>"762235"</f>
        <v>762235</v>
      </c>
      <c r="B1988" t="s">
        <v>3893</v>
      </c>
      <c r="C1988" t="s">
        <v>3894</v>
      </c>
    </row>
    <row r="1989" spans="1:3" x14ac:dyDescent="0.25">
      <c r="A1989" t="str">
        <f>"764349"</f>
        <v>764349</v>
      </c>
      <c r="B1989" t="s">
        <v>3895</v>
      </c>
      <c r="C1989" t="s">
        <v>3895</v>
      </c>
    </row>
    <row r="1990" spans="1:3" x14ac:dyDescent="0.25">
      <c r="A1990" t="str">
        <f>"764348"</f>
        <v>764348</v>
      </c>
      <c r="B1990" t="s">
        <v>3896</v>
      </c>
      <c r="C1990" t="s">
        <v>3897</v>
      </c>
    </row>
    <row r="1991" spans="1:3" x14ac:dyDescent="0.25">
      <c r="A1991" t="str">
        <f>"761238"</f>
        <v>761238</v>
      </c>
      <c r="B1991" t="s">
        <v>3898</v>
      </c>
      <c r="C1991" t="s">
        <v>3899</v>
      </c>
    </row>
    <row r="1992" spans="1:3" x14ac:dyDescent="0.25">
      <c r="A1992" t="str">
        <f>"811817"</f>
        <v>811817</v>
      </c>
      <c r="B1992" t="s">
        <v>3900</v>
      </c>
      <c r="C1992" t="s">
        <v>3901</v>
      </c>
    </row>
    <row r="1993" spans="1:3" x14ac:dyDescent="0.25">
      <c r="A1993" t="str">
        <f>"811818"</f>
        <v>811818</v>
      </c>
      <c r="B1993" t="s">
        <v>3902</v>
      </c>
      <c r="C1993" t="s">
        <v>3903</v>
      </c>
    </row>
    <row r="1994" spans="1:3" x14ac:dyDescent="0.25">
      <c r="A1994" t="str">
        <f>"762236"</f>
        <v>762236</v>
      </c>
      <c r="B1994" t="s">
        <v>3904</v>
      </c>
      <c r="C1994" t="s">
        <v>3905</v>
      </c>
    </row>
    <row r="1995" spans="1:3" x14ac:dyDescent="0.25">
      <c r="A1995" t="str">
        <f>"81954 "</f>
        <v xml:space="preserve">81954 </v>
      </c>
      <c r="B1995" t="s">
        <v>3906</v>
      </c>
      <c r="C1995" t="s">
        <v>3907</v>
      </c>
    </row>
    <row r="1996" spans="1:3" x14ac:dyDescent="0.25">
      <c r="A1996" t="str">
        <f>"761239"</f>
        <v>761239</v>
      </c>
      <c r="B1996" t="s">
        <v>3908</v>
      </c>
      <c r="C1996" t="s">
        <v>3908</v>
      </c>
    </row>
    <row r="1997" spans="1:3" x14ac:dyDescent="0.25">
      <c r="A1997" t="str">
        <f>"764351"</f>
        <v>764351</v>
      </c>
      <c r="B1997" t="s">
        <v>3909</v>
      </c>
      <c r="C1997" t="s">
        <v>3910</v>
      </c>
    </row>
    <row r="1998" spans="1:3" x14ac:dyDescent="0.25">
      <c r="A1998" t="str">
        <f>"764350"</f>
        <v>764350</v>
      </c>
      <c r="B1998" t="s">
        <v>3911</v>
      </c>
      <c r="C1998" t="s">
        <v>3912</v>
      </c>
    </row>
    <row r="1999" spans="1:3" x14ac:dyDescent="0.25">
      <c r="A1999" t="str">
        <f>"89442 "</f>
        <v xml:space="preserve">89442 </v>
      </c>
      <c r="B1999" t="s">
        <v>3913</v>
      </c>
      <c r="C1999" t="s">
        <v>3914</v>
      </c>
    </row>
    <row r="2000" spans="1:3" x14ac:dyDescent="0.25">
      <c r="A2000" t="str">
        <f>"764354"</f>
        <v>764354</v>
      </c>
      <c r="B2000" t="s">
        <v>3915</v>
      </c>
      <c r="C2000" t="s">
        <v>3916</v>
      </c>
    </row>
    <row r="2001" spans="1:3" x14ac:dyDescent="0.25">
      <c r="A2001" t="str">
        <f>"762237"</f>
        <v>762237</v>
      </c>
      <c r="B2001" t="s">
        <v>3917</v>
      </c>
      <c r="C2001" t="s">
        <v>3918</v>
      </c>
    </row>
    <row r="2002" spans="1:3" x14ac:dyDescent="0.25">
      <c r="A2002" t="str">
        <f>"764353"</f>
        <v>764353</v>
      </c>
      <c r="B2002" t="s">
        <v>3919</v>
      </c>
      <c r="C2002" t="s">
        <v>3920</v>
      </c>
    </row>
    <row r="2003" spans="1:3" x14ac:dyDescent="0.25">
      <c r="A2003" t="str">
        <f>"763116"</f>
        <v>763116</v>
      </c>
      <c r="B2003" t="s">
        <v>3921</v>
      </c>
      <c r="C2003" t="s">
        <v>3922</v>
      </c>
    </row>
    <row r="2004" spans="1:3" x14ac:dyDescent="0.25">
      <c r="A2004" t="str">
        <f>"764355"</f>
        <v>764355</v>
      </c>
      <c r="B2004" t="s">
        <v>3923</v>
      </c>
      <c r="C2004" t="s">
        <v>3924</v>
      </c>
    </row>
    <row r="2005" spans="1:3" x14ac:dyDescent="0.25">
      <c r="A2005" t="str">
        <f>"762238"</f>
        <v>762238</v>
      </c>
      <c r="B2005" t="s">
        <v>3925</v>
      </c>
      <c r="C2005" t="s">
        <v>3926</v>
      </c>
    </row>
    <row r="2006" spans="1:3" x14ac:dyDescent="0.25">
      <c r="A2006" t="str">
        <f>"764352"</f>
        <v>764352</v>
      </c>
      <c r="B2006" t="s">
        <v>3927</v>
      </c>
      <c r="C2006" t="s">
        <v>3928</v>
      </c>
    </row>
    <row r="2007" spans="1:3" x14ac:dyDescent="0.25">
      <c r="A2007" t="str">
        <f>"81782 "</f>
        <v xml:space="preserve">81782 </v>
      </c>
      <c r="B2007" t="s">
        <v>3929</v>
      </c>
      <c r="C2007" t="s">
        <v>3930</v>
      </c>
    </row>
    <row r="2008" spans="1:3" x14ac:dyDescent="0.25">
      <c r="A2008" t="str">
        <f>"81483 "</f>
        <v xml:space="preserve">81483 </v>
      </c>
      <c r="B2008" t="s">
        <v>3931</v>
      </c>
      <c r="C2008" t="s">
        <v>3932</v>
      </c>
    </row>
    <row r="2009" spans="1:3" x14ac:dyDescent="0.25">
      <c r="A2009" t="str">
        <f>"811819"</f>
        <v>811819</v>
      </c>
      <c r="B2009" t="s">
        <v>3933</v>
      </c>
      <c r="C2009" t="s">
        <v>3934</v>
      </c>
    </row>
    <row r="2010" spans="1:3" x14ac:dyDescent="0.25">
      <c r="A2010" t="str">
        <f>"811820"</f>
        <v>811820</v>
      </c>
      <c r="B2010" t="s">
        <v>3935</v>
      </c>
      <c r="C2010" t="s">
        <v>3936</v>
      </c>
    </row>
    <row r="2011" spans="1:3" x14ac:dyDescent="0.25">
      <c r="A2011" t="str">
        <f>"811821"</f>
        <v>811821</v>
      </c>
      <c r="B2011" t="s">
        <v>3937</v>
      </c>
      <c r="C2011" t="s">
        <v>3938</v>
      </c>
    </row>
    <row r="2012" spans="1:3" x14ac:dyDescent="0.25">
      <c r="A2012" t="str">
        <f>"811822"</f>
        <v>811822</v>
      </c>
      <c r="B2012" t="s">
        <v>3939</v>
      </c>
      <c r="C2012" t="s">
        <v>3940</v>
      </c>
    </row>
    <row r="2013" spans="1:3" x14ac:dyDescent="0.25">
      <c r="A2013" t="str">
        <f>"811823"</f>
        <v>811823</v>
      </c>
      <c r="B2013" t="s">
        <v>3941</v>
      </c>
      <c r="C2013" t="s">
        <v>3942</v>
      </c>
    </row>
    <row r="2014" spans="1:3" x14ac:dyDescent="0.25">
      <c r="A2014" t="str">
        <f>"81217 "</f>
        <v xml:space="preserve">81217 </v>
      </c>
      <c r="B2014" t="s">
        <v>3943</v>
      </c>
      <c r="C2014" t="s">
        <v>3944</v>
      </c>
    </row>
    <row r="2015" spans="1:3" x14ac:dyDescent="0.25">
      <c r="A2015" t="str">
        <f>"81218 "</f>
        <v xml:space="preserve">81218 </v>
      </c>
      <c r="B2015" t="s">
        <v>3945</v>
      </c>
      <c r="C2015" t="s">
        <v>3946</v>
      </c>
    </row>
    <row r="2016" spans="1:3" x14ac:dyDescent="0.25">
      <c r="A2016" t="str">
        <f>"81322 "</f>
        <v xml:space="preserve">81322 </v>
      </c>
      <c r="B2016" t="s">
        <v>3947</v>
      </c>
      <c r="C2016" t="s">
        <v>3948</v>
      </c>
    </row>
    <row r="2017" spans="1:3" x14ac:dyDescent="0.25">
      <c r="A2017" t="str">
        <f>"81323 "</f>
        <v xml:space="preserve">81323 </v>
      </c>
      <c r="B2017" t="s">
        <v>3949</v>
      </c>
      <c r="C2017" t="s">
        <v>3950</v>
      </c>
    </row>
    <row r="2018" spans="1:3" x14ac:dyDescent="0.25">
      <c r="A2018" t="str">
        <f>"81065 "</f>
        <v xml:space="preserve">81065 </v>
      </c>
      <c r="B2018" t="s">
        <v>3951</v>
      </c>
      <c r="C2018" t="s">
        <v>3952</v>
      </c>
    </row>
    <row r="2019" spans="1:3" x14ac:dyDescent="0.25">
      <c r="A2019" t="str">
        <f>"81066 "</f>
        <v xml:space="preserve">81066 </v>
      </c>
      <c r="B2019" t="s">
        <v>3953</v>
      </c>
      <c r="C2019" t="s">
        <v>3954</v>
      </c>
    </row>
    <row r="2020" spans="1:3" x14ac:dyDescent="0.25">
      <c r="A2020" t="str">
        <f>"81067 "</f>
        <v xml:space="preserve">81067 </v>
      </c>
      <c r="B2020" t="s">
        <v>3955</v>
      </c>
      <c r="C2020" t="s">
        <v>3956</v>
      </c>
    </row>
    <row r="2021" spans="1:3" x14ac:dyDescent="0.25">
      <c r="A2021" t="str">
        <f>"81068 "</f>
        <v xml:space="preserve">81068 </v>
      </c>
      <c r="B2021" t="s">
        <v>3957</v>
      </c>
      <c r="C2021" t="s">
        <v>3958</v>
      </c>
    </row>
    <row r="2022" spans="1:3" x14ac:dyDescent="0.25">
      <c r="A2022" t="str">
        <f>"815312"</f>
        <v>815312</v>
      </c>
      <c r="B2022" t="s">
        <v>3959</v>
      </c>
      <c r="C2022" t="s">
        <v>3960</v>
      </c>
    </row>
    <row r="2023" spans="1:3" x14ac:dyDescent="0.25">
      <c r="A2023" t="str">
        <f>"81532 "</f>
        <v xml:space="preserve">81532 </v>
      </c>
      <c r="B2023" t="s">
        <v>3961</v>
      </c>
      <c r="C2023" t="s">
        <v>3962</v>
      </c>
    </row>
    <row r="2024" spans="1:3" x14ac:dyDescent="0.25">
      <c r="A2024" t="str">
        <f>"81533 "</f>
        <v xml:space="preserve">81533 </v>
      </c>
      <c r="B2024" t="s">
        <v>3963</v>
      </c>
      <c r="C2024" t="s">
        <v>3964</v>
      </c>
    </row>
    <row r="2025" spans="1:3" x14ac:dyDescent="0.25">
      <c r="A2025" t="str">
        <f>"81534 "</f>
        <v xml:space="preserve">81534 </v>
      </c>
      <c r="B2025" t="s">
        <v>3965</v>
      </c>
      <c r="C2025" t="s">
        <v>3966</v>
      </c>
    </row>
    <row r="2026" spans="1:3" x14ac:dyDescent="0.25">
      <c r="A2026" t="str">
        <f>"81535 "</f>
        <v xml:space="preserve">81535 </v>
      </c>
      <c r="B2026" t="s">
        <v>3967</v>
      </c>
      <c r="C2026" t="s">
        <v>3968</v>
      </c>
    </row>
    <row r="2027" spans="1:3" x14ac:dyDescent="0.25">
      <c r="A2027" t="str">
        <f>"81536 "</f>
        <v xml:space="preserve">81536 </v>
      </c>
      <c r="B2027" t="s">
        <v>3969</v>
      </c>
      <c r="C2027" t="s">
        <v>3970</v>
      </c>
    </row>
    <row r="2028" spans="1:3" x14ac:dyDescent="0.25">
      <c r="A2028" t="str">
        <f>"81537 "</f>
        <v xml:space="preserve">81537 </v>
      </c>
      <c r="B2028" t="s">
        <v>3971</v>
      </c>
      <c r="C2028" t="s">
        <v>3972</v>
      </c>
    </row>
    <row r="2029" spans="1:3" x14ac:dyDescent="0.25">
      <c r="A2029" t="str">
        <f>"81538 "</f>
        <v xml:space="preserve">81538 </v>
      </c>
      <c r="B2029" t="s">
        <v>3973</v>
      </c>
      <c r="C2029" t="s">
        <v>3974</v>
      </c>
    </row>
    <row r="2030" spans="1:3" x14ac:dyDescent="0.25">
      <c r="A2030" t="str">
        <f>"815310"</f>
        <v>815310</v>
      </c>
      <c r="B2030" t="s">
        <v>3975</v>
      </c>
      <c r="C2030" t="s">
        <v>3976</v>
      </c>
    </row>
    <row r="2031" spans="1:3" x14ac:dyDescent="0.25">
      <c r="A2031" t="str">
        <f>"815311"</f>
        <v>815311</v>
      </c>
      <c r="B2031" t="s">
        <v>3977</v>
      </c>
      <c r="C2031" t="s">
        <v>3978</v>
      </c>
    </row>
    <row r="2032" spans="1:3" x14ac:dyDescent="0.25">
      <c r="A2032" t="str">
        <f>"81582 "</f>
        <v xml:space="preserve">81582 </v>
      </c>
      <c r="B2032" t="s">
        <v>3979</v>
      </c>
      <c r="C2032" t="s">
        <v>3980</v>
      </c>
    </row>
    <row r="2033" spans="1:3" x14ac:dyDescent="0.25">
      <c r="A2033" t="str">
        <f>"81583 "</f>
        <v xml:space="preserve">81583 </v>
      </c>
      <c r="B2033" t="s">
        <v>3981</v>
      </c>
      <c r="C2033" t="s">
        <v>3982</v>
      </c>
    </row>
    <row r="2034" spans="1:3" x14ac:dyDescent="0.25">
      <c r="A2034" t="str">
        <f>"81584 "</f>
        <v xml:space="preserve">81584 </v>
      </c>
      <c r="B2034" t="s">
        <v>3983</v>
      </c>
      <c r="C2034" t="s">
        <v>3984</v>
      </c>
    </row>
    <row r="2035" spans="1:3" x14ac:dyDescent="0.25">
      <c r="A2035" t="str">
        <f>"81585 "</f>
        <v xml:space="preserve">81585 </v>
      </c>
      <c r="B2035" t="s">
        <v>3985</v>
      </c>
      <c r="C2035" t="s">
        <v>3986</v>
      </c>
    </row>
    <row r="2036" spans="1:3" x14ac:dyDescent="0.25">
      <c r="A2036" t="str">
        <f>"81586 "</f>
        <v xml:space="preserve">81586 </v>
      </c>
      <c r="B2036" t="s">
        <v>3987</v>
      </c>
      <c r="C2036" t="s">
        <v>3988</v>
      </c>
    </row>
    <row r="2037" spans="1:3" x14ac:dyDescent="0.25">
      <c r="A2037" t="str">
        <f>"81587 "</f>
        <v xml:space="preserve">81587 </v>
      </c>
      <c r="B2037" t="s">
        <v>3989</v>
      </c>
      <c r="C2037" t="s">
        <v>3990</v>
      </c>
    </row>
    <row r="2038" spans="1:3" x14ac:dyDescent="0.25">
      <c r="A2038" t="str">
        <f>"764535"</f>
        <v>764535</v>
      </c>
      <c r="B2038" t="s">
        <v>3991</v>
      </c>
      <c r="C2038" t="s">
        <v>3992</v>
      </c>
    </row>
    <row r="2039" spans="1:3" x14ac:dyDescent="0.25">
      <c r="A2039" t="str">
        <f>"762239"</f>
        <v>762239</v>
      </c>
      <c r="B2039" t="s">
        <v>3993</v>
      </c>
      <c r="C2039" t="s">
        <v>3994</v>
      </c>
    </row>
    <row r="2040" spans="1:3" x14ac:dyDescent="0.25">
      <c r="A2040" t="str">
        <f>"761240"</f>
        <v>761240</v>
      </c>
      <c r="B2040" t="s">
        <v>3995</v>
      </c>
      <c r="C2040" t="s">
        <v>3996</v>
      </c>
    </row>
    <row r="2041" spans="1:3" x14ac:dyDescent="0.25">
      <c r="A2041" t="str">
        <f>"764358"</f>
        <v>764358</v>
      </c>
      <c r="B2041" t="s">
        <v>3997</v>
      </c>
      <c r="C2041" t="s">
        <v>3998</v>
      </c>
    </row>
    <row r="2042" spans="1:3" x14ac:dyDescent="0.25">
      <c r="A2042" t="str">
        <f>"764357"</f>
        <v>764357</v>
      </c>
      <c r="B2042" t="s">
        <v>3999</v>
      </c>
      <c r="C2042" t="s">
        <v>4000</v>
      </c>
    </row>
    <row r="2043" spans="1:3" x14ac:dyDescent="0.25">
      <c r="A2043" t="str">
        <f>"763117"</f>
        <v>763117</v>
      </c>
      <c r="B2043" t="s">
        <v>4001</v>
      </c>
      <c r="C2043" t="s">
        <v>4002</v>
      </c>
    </row>
    <row r="2044" spans="1:3" x14ac:dyDescent="0.25">
      <c r="A2044" t="str">
        <f>"761241"</f>
        <v>761241</v>
      </c>
      <c r="B2044" t="s">
        <v>4003</v>
      </c>
      <c r="C2044" t="s">
        <v>4004</v>
      </c>
    </row>
    <row r="2045" spans="1:3" x14ac:dyDescent="0.25">
      <c r="A2045" t="str">
        <f>"764356"</f>
        <v>764356</v>
      </c>
      <c r="B2045" t="s">
        <v>4005</v>
      </c>
      <c r="C2045" t="s">
        <v>4006</v>
      </c>
    </row>
    <row r="2046" spans="1:3" x14ac:dyDescent="0.25">
      <c r="A2046" t="str">
        <f>"810610"</f>
        <v>810610</v>
      </c>
      <c r="B2046" t="s">
        <v>4007</v>
      </c>
      <c r="C2046" t="s">
        <v>4008</v>
      </c>
    </row>
    <row r="2047" spans="1:3" x14ac:dyDescent="0.25">
      <c r="A2047" t="str">
        <f>"MMMMM "</f>
        <v xml:space="preserve">MMMMM </v>
      </c>
      <c r="B2047" t="s">
        <v>4009</v>
      </c>
      <c r="C2047" t="s">
        <v>4010</v>
      </c>
    </row>
    <row r="2048" spans="1:3" x14ac:dyDescent="0.25">
      <c r="A2048" t="str">
        <f>"MMMMM1"</f>
        <v>MMMMM1</v>
      </c>
      <c r="B2048" t="s">
        <v>4011</v>
      </c>
      <c r="C2048" t="s">
        <v>4012</v>
      </c>
    </row>
    <row r="2049" spans="1:3" x14ac:dyDescent="0.25">
      <c r="A2049" t="str">
        <f>"761242"</f>
        <v>761242</v>
      </c>
      <c r="B2049" t="s">
        <v>4013</v>
      </c>
      <c r="C2049" t="s">
        <v>4014</v>
      </c>
    </row>
    <row r="2050" spans="1:3" x14ac:dyDescent="0.25">
      <c r="A2050" t="str">
        <f>"762240"</f>
        <v>762240</v>
      </c>
      <c r="B2050" t="s">
        <v>4015</v>
      </c>
      <c r="C2050" t="s">
        <v>4016</v>
      </c>
    </row>
    <row r="2051" spans="1:3" x14ac:dyDescent="0.25">
      <c r="A2051" t="str">
        <f>"763118"</f>
        <v>763118</v>
      </c>
      <c r="B2051" t="s">
        <v>4017</v>
      </c>
      <c r="C2051" t="s">
        <v>4018</v>
      </c>
    </row>
    <row r="2052" spans="1:3" x14ac:dyDescent="0.25">
      <c r="A2052" t="str">
        <f>"764359"</f>
        <v>764359</v>
      </c>
      <c r="B2052" t="s">
        <v>4019</v>
      </c>
      <c r="C2052" t="s">
        <v>4020</v>
      </c>
    </row>
    <row r="2053" spans="1:3" x14ac:dyDescent="0.25">
      <c r="A2053" t="str">
        <f>"764360"</f>
        <v>764360</v>
      </c>
      <c r="B2053" t="s">
        <v>4021</v>
      </c>
      <c r="C2053" t="s">
        <v>4022</v>
      </c>
    </row>
    <row r="2054" spans="1:3" x14ac:dyDescent="0.25">
      <c r="A2054" t="str">
        <f>"764361"</f>
        <v>764361</v>
      </c>
      <c r="B2054" t="s">
        <v>4023</v>
      </c>
      <c r="C2054" t="s">
        <v>4024</v>
      </c>
    </row>
    <row r="2055" spans="1:3" x14ac:dyDescent="0.25">
      <c r="A2055" t="str">
        <f>"764362"</f>
        <v>764362</v>
      </c>
      <c r="B2055" t="s">
        <v>4025</v>
      </c>
      <c r="C2055" t="s">
        <v>4026</v>
      </c>
    </row>
    <row r="2056" spans="1:3" x14ac:dyDescent="0.25">
      <c r="A2056" t="str">
        <f>"81502 "</f>
        <v xml:space="preserve">81502 </v>
      </c>
      <c r="B2056" t="s">
        <v>4027</v>
      </c>
      <c r="C2056" t="s">
        <v>4028</v>
      </c>
    </row>
    <row r="2057" spans="1:3" x14ac:dyDescent="0.25">
      <c r="A2057" t="str">
        <f>"81503 "</f>
        <v xml:space="preserve">81503 </v>
      </c>
      <c r="B2057" t="s">
        <v>4029</v>
      </c>
      <c r="C2057" t="s">
        <v>4030</v>
      </c>
    </row>
    <row r="2058" spans="1:3" x14ac:dyDescent="0.25">
      <c r="A2058" t="str">
        <f>"81955 "</f>
        <v xml:space="preserve">81955 </v>
      </c>
      <c r="B2058" t="s">
        <v>4031</v>
      </c>
      <c r="C2058" t="s">
        <v>4032</v>
      </c>
    </row>
    <row r="2059" spans="1:3" x14ac:dyDescent="0.25">
      <c r="A2059" t="str">
        <f>"81504 "</f>
        <v xml:space="preserve">81504 </v>
      </c>
      <c r="B2059" t="s">
        <v>4033</v>
      </c>
      <c r="C2059" t="s">
        <v>4034</v>
      </c>
    </row>
    <row r="2060" spans="1:3" x14ac:dyDescent="0.25">
      <c r="A2060" t="str">
        <f>"MMMMM2"</f>
        <v>MMMMM2</v>
      </c>
      <c r="B2060" t="s">
        <v>4035</v>
      </c>
      <c r="C2060" t="s">
        <v>4036</v>
      </c>
    </row>
    <row r="2061" spans="1:3" x14ac:dyDescent="0.25">
      <c r="A2061" t="str">
        <f>"81931 "</f>
        <v xml:space="preserve">81931 </v>
      </c>
      <c r="B2061" t="s">
        <v>4037</v>
      </c>
      <c r="C2061" t="s">
        <v>4038</v>
      </c>
    </row>
    <row r="2062" spans="1:3" x14ac:dyDescent="0.25">
      <c r="A2062" t="str">
        <f>"81932 "</f>
        <v xml:space="preserve">81932 </v>
      </c>
      <c r="B2062" t="s">
        <v>4039</v>
      </c>
      <c r="C2062" t="s">
        <v>4040</v>
      </c>
    </row>
    <row r="2063" spans="1:3" x14ac:dyDescent="0.25">
      <c r="A2063" t="str">
        <f>"762242"</f>
        <v>762242</v>
      </c>
      <c r="B2063" t="s">
        <v>4041</v>
      </c>
      <c r="C2063" t="s">
        <v>4042</v>
      </c>
    </row>
    <row r="2064" spans="1:3" x14ac:dyDescent="0.25">
      <c r="A2064" t="str">
        <f>"764367"</f>
        <v>764367</v>
      </c>
      <c r="B2064" t="s">
        <v>4043</v>
      </c>
      <c r="C2064" t="s">
        <v>4044</v>
      </c>
    </row>
    <row r="2065" spans="1:3" x14ac:dyDescent="0.25">
      <c r="A2065" t="str">
        <f>"765018"</f>
        <v>765018</v>
      </c>
      <c r="B2065" t="s">
        <v>4045</v>
      </c>
      <c r="C2065" t="s">
        <v>4046</v>
      </c>
    </row>
    <row r="2066" spans="1:3" x14ac:dyDescent="0.25">
      <c r="A2066" t="str">
        <f>"762241"</f>
        <v>762241</v>
      </c>
      <c r="B2066" t="s">
        <v>4047</v>
      </c>
      <c r="C2066" t="s">
        <v>4048</v>
      </c>
    </row>
    <row r="2067" spans="1:3" x14ac:dyDescent="0.25">
      <c r="A2067" t="str">
        <f>"763121"</f>
        <v>763121</v>
      </c>
      <c r="B2067" t="s">
        <v>4049</v>
      </c>
      <c r="C2067" t="s">
        <v>4050</v>
      </c>
    </row>
    <row r="2068" spans="1:3" x14ac:dyDescent="0.25">
      <c r="A2068" t="str">
        <f>"764365"</f>
        <v>764365</v>
      </c>
      <c r="B2068" t="s">
        <v>4051</v>
      </c>
      <c r="C2068" t="s">
        <v>4052</v>
      </c>
    </row>
    <row r="2069" spans="1:3" x14ac:dyDescent="0.25">
      <c r="A2069" t="str">
        <f>"762243"</f>
        <v>762243</v>
      </c>
      <c r="B2069" t="s">
        <v>4053</v>
      </c>
      <c r="C2069" t="s">
        <v>4054</v>
      </c>
    </row>
    <row r="2070" spans="1:3" x14ac:dyDescent="0.25">
      <c r="A2070" t="str">
        <f>"764363"</f>
        <v>764363</v>
      </c>
      <c r="B2070" t="s">
        <v>4055</v>
      </c>
      <c r="C2070" t="s">
        <v>4056</v>
      </c>
    </row>
    <row r="2071" spans="1:3" x14ac:dyDescent="0.25">
      <c r="A2071" t="str">
        <f>"81783 "</f>
        <v xml:space="preserve">81783 </v>
      </c>
      <c r="B2071" t="s">
        <v>4057</v>
      </c>
      <c r="C2071" t="s">
        <v>4058</v>
      </c>
    </row>
    <row r="2072" spans="1:3" x14ac:dyDescent="0.25">
      <c r="A2072" t="str">
        <f>"81784 "</f>
        <v xml:space="preserve">81784 </v>
      </c>
      <c r="B2072" t="s">
        <v>4059</v>
      </c>
      <c r="C2072" t="s">
        <v>4060</v>
      </c>
    </row>
    <row r="2073" spans="1:3" x14ac:dyDescent="0.25">
      <c r="A2073" t="str">
        <f>"763120"</f>
        <v>763120</v>
      </c>
      <c r="B2073" t="s">
        <v>4061</v>
      </c>
      <c r="C2073" t="s">
        <v>4062</v>
      </c>
    </row>
    <row r="2074" spans="1:3" x14ac:dyDescent="0.25">
      <c r="A2074" t="str">
        <f>"762245"</f>
        <v>762245</v>
      </c>
      <c r="B2074" t="s">
        <v>4063</v>
      </c>
      <c r="C2074" t="s">
        <v>4064</v>
      </c>
    </row>
    <row r="2075" spans="1:3" x14ac:dyDescent="0.25">
      <c r="A2075" t="str">
        <f>"764366"</f>
        <v>764366</v>
      </c>
      <c r="B2075" t="s">
        <v>4065</v>
      </c>
      <c r="C2075" t="s">
        <v>4066</v>
      </c>
    </row>
    <row r="2076" spans="1:3" x14ac:dyDescent="0.25">
      <c r="A2076" t="str">
        <f>"762246"</f>
        <v>762246</v>
      </c>
      <c r="B2076" t="s">
        <v>4067</v>
      </c>
      <c r="C2076" t="s">
        <v>4068</v>
      </c>
    </row>
    <row r="2077" spans="1:3" x14ac:dyDescent="0.25">
      <c r="A2077" t="str">
        <f>"764364"</f>
        <v>764364</v>
      </c>
      <c r="B2077" t="s">
        <v>4069</v>
      </c>
      <c r="C2077" t="s">
        <v>4070</v>
      </c>
    </row>
    <row r="2078" spans="1:3" x14ac:dyDescent="0.25">
      <c r="A2078" t="str">
        <f>"763119"</f>
        <v>763119</v>
      </c>
      <c r="B2078" t="s">
        <v>4071</v>
      </c>
      <c r="C2078" t="s">
        <v>4072</v>
      </c>
    </row>
    <row r="2079" spans="1:3" x14ac:dyDescent="0.25">
      <c r="A2079" t="str">
        <f>"761244"</f>
        <v>761244</v>
      </c>
      <c r="B2079" t="s">
        <v>4073</v>
      </c>
      <c r="C2079" t="s">
        <v>4074</v>
      </c>
    </row>
    <row r="2080" spans="1:3" x14ac:dyDescent="0.25">
      <c r="A2080" t="str">
        <f>"761243"</f>
        <v>761243</v>
      </c>
      <c r="B2080" t="s">
        <v>4075</v>
      </c>
      <c r="C2080" t="s">
        <v>4076</v>
      </c>
    </row>
    <row r="2081" spans="1:3" x14ac:dyDescent="0.25">
      <c r="A2081" t="str">
        <f>"81352 "</f>
        <v xml:space="preserve">81352 </v>
      </c>
      <c r="B2081" t="s">
        <v>4077</v>
      </c>
      <c r="C2081" t="s">
        <v>4078</v>
      </c>
    </row>
    <row r="2082" spans="1:3" x14ac:dyDescent="0.25">
      <c r="A2082" t="str">
        <f>"811824"</f>
        <v>811824</v>
      </c>
      <c r="B2082" t="s">
        <v>4079</v>
      </c>
      <c r="C2082" t="s">
        <v>2534</v>
      </c>
    </row>
    <row r="2083" spans="1:3" x14ac:dyDescent="0.25">
      <c r="A2083" t="str">
        <f>"762244"</f>
        <v>762244</v>
      </c>
      <c r="B2083" t="s">
        <v>4080</v>
      </c>
      <c r="C2083" t="s">
        <v>4081</v>
      </c>
    </row>
    <row r="2084" spans="1:3" x14ac:dyDescent="0.25">
      <c r="A2084" t="str">
        <f>"764368"</f>
        <v>764368</v>
      </c>
      <c r="B2084" t="s">
        <v>4082</v>
      </c>
      <c r="C2084" t="s">
        <v>4083</v>
      </c>
    </row>
    <row r="2085" spans="1:3" x14ac:dyDescent="0.25">
      <c r="A2085" t="str">
        <f>"764369"</f>
        <v>764369</v>
      </c>
      <c r="B2085" t="s">
        <v>4084</v>
      </c>
      <c r="C2085" t="s">
        <v>4085</v>
      </c>
    </row>
    <row r="2086" spans="1:3" x14ac:dyDescent="0.25">
      <c r="A2086" t="str">
        <f>"764370"</f>
        <v>764370</v>
      </c>
      <c r="B2086" t="s">
        <v>4086</v>
      </c>
      <c r="C2086" t="s">
        <v>4087</v>
      </c>
    </row>
    <row r="2087" spans="1:3" x14ac:dyDescent="0.25">
      <c r="A2087" t="str">
        <f>"764371"</f>
        <v>764371</v>
      </c>
      <c r="B2087" t="s">
        <v>4088</v>
      </c>
      <c r="C2087" t="s">
        <v>4089</v>
      </c>
    </row>
    <row r="2088" spans="1:3" x14ac:dyDescent="0.25">
      <c r="A2088" t="str">
        <f>"762247"</f>
        <v>762247</v>
      </c>
      <c r="B2088" t="s">
        <v>4090</v>
      </c>
      <c r="C2088" t="s">
        <v>4091</v>
      </c>
    </row>
    <row r="2089" spans="1:3" x14ac:dyDescent="0.25">
      <c r="A2089" t="str">
        <f>"762248"</f>
        <v>762248</v>
      </c>
      <c r="B2089" t="s">
        <v>4092</v>
      </c>
      <c r="C2089" t="s">
        <v>4093</v>
      </c>
    </row>
    <row r="2090" spans="1:3" x14ac:dyDescent="0.25">
      <c r="A2090" t="str">
        <f>"761245"</f>
        <v>761245</v>
      </c>
      <c r="B2090" t="s">
        <v>4094</v>
      </c>
      <c r="C2090" t="s">
        <v>4095</v>
      </c>
    </row>
    <row r="2091" spans="1:3" x14ac:dyDescent="0.25">
      <c r="A2091" t="str">
        <f>"819522"</f>
        <v>819522</v>
      </c>
      <c r="B2091" t="s">
        <v>4096</v>
      </c>
      <c r="C2091" t="s">
        <v>4097</v>
      </c>
    </row>
    <row r="2092" spans="1:3" x14ac:dyDescent="0.25">
      <c r="A2092" t="str">
        <f>"81956 "</f>
        <v xml:space="preserve">81956 </v>
      </c>
      <c r="B2092" t="s">
        <v>4098</v>
      </c>
      <c r="C2092" t="s">
        <v>4099</v>
      </c>
    </row>
    <row r="2093" spans="1:3" x14ac:dyDescent="0.25">
      <c r="A2093" t="str">
        <f>"81941 "</f>
        <v xml:space="preserve">81941 </v>
      </c>
      <c r="B2093" t="s">
        <v>4100</v>
      </c>
      <c r="C2093" t="s">
        <v>4101</v>
      </c>
    </row>
    <row r="2094" spans="1:3" x14ac:dyDescent="0.25">
      <c r="A2094" t="str">
        <f>"81942 "</f>
        <v xml:space="preserve">81942 </v>
      </c>
      <c r="B2094" t="s">
        <v>4102</v>
      </c>
      <c r="C2094" t="s">
        <v>4103</v>
      </c>
    </row>
    <row r="2095" spans="1:3" x14ac:dyDescent="0.25">
      <c r="A2095" t="str">
        <f>"81943 "</f>
        <v xml:space="preserve">81943 </v>
      </c>
      <c r="B2095" t="s">
        <v>4104</v>
      </c>
      <c r="C2095" t="s">
        <v>4105</v>
      </c>
    </row>
    <row r="2096" spans="1:3" x14ac:dyDescent="0.25">
      <c r="A2096" t="str">
        <f>"81944 "</f>
        <v xml:space="preserve">81944 </v>
      </c>
      <c r="B2096" t="s">
        <v>4106</v>
      </c>
      <c r="C2096" t="s">
        <v>4107</v>
      </c>
    </row>
    <row r="2097" spans="1:3" x14ac:dyDescent="0.25">
      <c r="A2097" t="str">
        <f>"767072"</f>
        <v>767072</v>
      </c>
      <c r="B2097" t="s">
        <v>4108</v>
      </c>
      <c r="C2097" t="s">
        <v>4109</v>
      </c>
    </row>
    <row r="2098" spans="1:3" x14ac:dyDescent="0.25">
      <c r="A2098" t="str">
        <f>"762249"</f>
        <v>762249</v>
      </c>
      <c r="B2098" t="s">
        <v>4110</v>
      </c>
      <c r="C2098" t="s">
        <v>4111</v>
      </c>
    </row>
    <row r="2099" spans="1:3" x14ac:dyDescent="0.25">
      <c r="A2099" t="str">
        <f>"764372"</f>
        <v>764372</v>
      </c>
      <c r="B2099" t="s">
        <v>4112</v>
      </c>
      <c r="C2099" t="s">
        <v>4113</v>
      </c>
    </row>
    <row r="2100" spans="1:3" x14ac:dyDescent="0.25">
      <c r="A2100" t="str">
        <f>"764373"</f>
        <v>764373</v>
      </c>
      <c r="B2100" t="s">
        <v>4114</v>
      </c>
      <c r="C2100" t="s">
        <v>4115</v>
      </c>
    </row>
    <row r="2101" spans="1:3" x14ac:dyDescent="0.25">
      <c r="A2101" t="str">
        <f>"764374"</f>
        <v>764374</v>
      </c>
      <c r="B2101" t="s">
        <v>4116</v>
      </c>
      <c r="C2101" t="s">
        <v>4117</v>
      </c>
    </row>
    <row r="2102" spans="1:3" x14ac:dyDescent="0.25">
      <c r="A2102" t="str">
        <f>"764375"</f>
        <v>764375</v>
      </c>
      <c r="B2102" t="s">
        <v>4118</v>
      </c>
      <c r="C2102" t="s">
        <v>4119</v>
      </c>
    </row>
    <row r="2103" spans="1:3" x14ac:dyDescent="0.25">
      <c r="A2103" t="str">
        <f>"764376"</f>
        <v>764376</v>
      </c>
      <c r="B2103" t="s">
        <v>4120</v>
      </c>
      <c r="C2103" t="s">
        <v>4121</v>
      </c>
    </row>
    <row r="2104" spans="1:3" x14ac:dyDescent="0.25">
      <c r="A2104" t="str">
        <f>"764377"</f>
        <v>764377</v>
      </c>
      <c r="B2104" t="s">
        <v>4122</v>
      </c>
      <c r="C2104" t="s">
        <v>4123</v>
      </c>
    </row>
    <row r="2105" spans="1:3" x14ac:dyDescent="0.25">
      <c r="A2105" t="str">
        <f>"764378"</f>
        <v>764378</v>
      </c>
      <c r="B2105" t="s">
        <v>4124</v>
      </c>
      <c r="C2105" t="s">
        <v>4125</v>
      </c>
    </row>
    <row r="2106" spans="1:3" x14ac:dyDescent="0.25">
      <c r="A2106" t="str">
        <f>"761246"</f>
        <v>761246</v>
      </c>
      <c r="B2106" t="s">
        <v>4126</v>
      </c>
      <c r="C2106" t="s">
        <v>4127</v>
      </c>
    </row>
    <row r="2107" spans="1:3" x14ac:dyDescent="0.25">
      <c r="A2107" t="str">
        <f>"763122"</f>
        <v>763122</v>
      </c>
      <c r="B2107" t="s">
        <v>4128</v>
      </c>
      <c r="C2107" t="s">
        <v>4129</v>
      </c>
    </row>
    <row r="2108" spans="1:3" x14ac:dyDescent="0.25">
      <c r="A2108" t="str">
        <f>"765019"</f>
        <v>765019</v>
      </c>
      <c r="B2108" t="s">
        <v>4130</v>
      </c>
      <c r="C2108" t="s">
        <v>4131</v>
      </c>
    </row>
    <row r="2109" spans="1:3" x14ac:dyDescent="0.25">
      <c r="A2109" t="str">
        <f>"767073"</f>
        <v>767073</v>
      </c>
      <c r="B2109" t="s">
        <v>4132</v>
      </c>
      <c r="C2109" t="s">
        <v>4133</v>
      </c>
    </row>
    <row r="2110" spans="1:3" x14ac:dyDescent="0.25">
      <c r="A2110" t="str">
        <f>"81881 "</f>
        <v xml:space="preserve">81881 </v>
      </c>
      <c r="B2110" t="s">
        <v>4134</v>
      </c>
      <c r="C2110" t="s">
        <v>4135</v>
      </c>
    </row>
    <row r="2111" spans="1:3" x14ac:dyDescent="0.25">
      <c r="A2111" t="str">
        <f>"81882 "</f>
        <v xml:space="preserve">81882 </v>
      </c>
      <c r="B2111" t="s">
        <v>4136</v>
      </c>
      <c r="C2111" t="s">
        <v>4137</v>
      </c>
    </row>
    <row r="2112" spans="1:3" x14ac:dyDescent="0.25">
      <c r="A2112" t="str">
        <f>"81791 "</f>
        <v xml:space="preserve">81791 </v>
      </c>
      <c r="B2112" t="s">
        <v>4138</v>
      </c>
      <c r="C2112" t="s">
        <v>4139</v>
      </c>
    </row>
    <row r="2113" spans="1:3" x14ac:dyDescent="0.25">
      <c r="A2113" t="str">
        <f>"81792 "</f>
        <v xml:space="preserve">81792 </v>
      </c>
      <c r="B2113" t="s">
        <v>4140</v>
      </c>
      <c r="C2113" t="s">
        <v>4141</v>
      </c>
    </row>
    <row r="2114" spans="1:3" x14ac:dyDescent="0.25">
      <c r="A2114" t="str">
        <f>"81793 "</f>
        <v xml:space="preserve">81793 </v>
      </c>
      <c r="B2114" t="s">
        <v>4142</v>
      </c>
      <c r="C2114" t="s">
        <v>4143</v>
      </c>
    </row>
    <row r="2115" spans="1:3" x14ac:dyDescent="0.25">
      <c r="A2115" t="str">
        <f>"81794 "</f>
        <v xml:space="preserve">81794 </v>
      </c>
      <c r="B2115" t="s">
        <v>4144</v>
      </c>
      <c r="C2115" t="s">
        <v>4145</v>
      </c>
    </row>
    <row r="2116" spans="1:3" x14ac:dyDescent="0.25">
      <c r="A2116" t="str">
        <f>"815313"</f>
        <v>815313</v>
      </c>
      <c r="B2116" t="s">
        <v>4146</v>
      </c>
      <c r="C2116" t="s">
        <v>4147</v>
      </c>
    </row>
    <row r="2117" spans="1:3" x14ac:dyDescent="0.25">
      <c r="A2117" t="str">
        <f>"815314"</f>
        <v>815314</v>
      </c>
      <c r="B2117" t="s">
        <v>4148</v>
      </c>
      <c r="C2117" t="s">
        <v>4149</v>
      </c>
    </row>
    <row r="2118" spans="1:3" x14ac:dyDescent="0.25">
      <c r="A2118" t="str">
        <f>"812110"</f>
        <v>812110</v>
      </c>
      <c r="B2118" t="s">
        <v>4150</v>
      </c>
      <c r="C2118" t="s">
        <v>4151</v>
      </c>
    </row>
    <row r="2119" spans="1:3" x14ac:dyDescent="0.25">
      <c r="A2119" t="str">
        <f>"812111"</f>
        <v>812111</v>
      </c>
      <c r="B2119" t="s">
        <v>4152</v>
      </c>
      <c r="C2119" t="s">
        <v>4153</v>
      </c>
    </row>
    <row r="2120" spans="1:3" x14ac:dyDescent="0.25">
      <c r="A2120" t="str">
        <f>"812112"</f>
        <v>812112</v>
      </c>
      <c r="B2120" t="s">
        <v>4154</v>
      </c>
      <c r="C2120" t="s">
        <v>4155</v>
      </c>
    </row>
    <row r="2121" spans="1:3" x14ac:dyDescent="0.25">
      <c r="A2121" t="str">
        <f>"811825"</f>
        <v>811825</v>
      </c>
      <c r="B2121" t="s">
        <v>4156</v>
      </c>
      <c r="C2121" t="s">
        <v>4157</v>
      </c>
    </row>
    <row r="2122" spans="1:3" x14ac:dyDescent="0.25">
      <c r="A2122" t="str">
        <f>"761247"</f>
        <v>761247</v>
      </c>
      <c r="B2122" t="s">
        <v>4158</v>
      </c>
      <c r="C2122" t="s">
        <v>4159</v>
      </c>
    </row>
    <row r="2123" spans="1:3" x14ac:dyDescent="0.25">
      <c r="A2123" t="str">
        <f>"761248"</f>
        <v>761248</v>
      </c>
      <c r="B2123" t="s">
        <v>4160</v>
      </c>
      <c r="C2123" t="s">
        <v>4161</v>
      </c>
    </row>
    <row r="2124" spans="1:3" x14ac:dyDescent="0.25">
      <c r="A2124" t="str">
        <f>"762250"</f>
        <v>762250</v>
      </c>
      <c r="B2124" t="s">
        <v>4162</v>
      </c>
      <c r="C2124" t="s">
        <v>4163</v>
      </c>
    </row>
    <row r="2125" spans="1:3" x14ac:dyDescent="0.25">
      <c r="A2125" t="str">
        <f>"762251"</f>
        <v>762251</v>
      </c>
      <c r="B2125" t="s">
        <v>4164</v>
      </c>
      <c r="C2125" t="s">
        <v>4165</v>
      </c>
    </row>
    <row r="2126" spans="1:3" x14ac:dyDescent="0.25">
      <c r="A2126" t="str">
        <f>"762252"</f>
        <v>762252</v>
      </c>
      <c r="B2126" t="s">
        <v>4166</v>
      </c>
      <c r="C2126" t="s">
        <v>4167</v>
      </c>
    </row>
    <row r="2127" spans="1:3" x14ac:dyDescent="0.25">
      <c r="A2127" t="str">
        <f>"763123"</f>
        <v>763123</v>
      </c>
      <c r="B2127" t="s">
        <v>4168</v>
      </c>
      <c r="C2127" t="s">
        <v>4169</v>
      </c>
    </row>
    <row r="2128" spans="1:3" x14ac:dyDescent="0.25">
      <c r="A2128" t="str">
        <f>"764379"</f>
        <v>764379</v>
      </c>
      <c r="B2128" t="s">
        <v>4170</v>
      </c>
      <c r="C2128" t="s">
        <v>4171</v>
      </c>
    </row>
    <row r="2129" spans="1:3" x14ac:dyDescent="0.25">
      <c r="A2129" t="str">
        <f>"764380"</f>
        <v>764380</v>
      </c>
      <c r="B2129" t="s">
        <v>4172</v>
      </c>
      <c r="C2129" t="s">
        <v>4173</v>
      </c>
    </row>
    <row r="2130" spans="1:3" x14ac:dyDescent="0.25">
      <c r="A2130" t="str">
        <f>"764381"</f>
        <v>764381</v>
      </c>
      <c r="B2130" t="s">
        <v>4174</v>
      </c>
      <c r="C2130" t="s">
        <v>4175</v>
      </c>
    </row>
    <row r="2131" spans="1:3" x14ac:dyDescent="0.25">
      <c r="A2131" t="str">
        <f>"764382"</f>
        <v>764382</v>
      </c>
      <c r="B2131" t="s">
        <v>4176</v>
      </c>
      <c r="C2131" t="s">
        <v>4177</v>
      </c>
    </row>
    <row r="2132" spans="1:3" x14ac:dyDescent="0.25">
      <c r="A2132" t="str">
        <f>"765020"</f>
        <v>765020</v>
      </c>
      <c r="B2132" t="s">
        <v>4178</v>
      </c>
      <c r="C2132" t="s">
        <v>4179</v>
      </c>
    </row>
    <row r="2133" spans="1:3" x14ac:dyDescent="0.25">
      <c r="A2133" t="str">
        <f>"763124"</f>
        <v>763124</v>
      </c>
      <c r="B2133" t="s">
        <v>4180</v>
      </c>
      <c r="C2133" t="s">
        <v>4181</v>
      </c>
    </row>
    <row r="2134" spans="1:3" x14ac:dyDescent="0.25">
      <c r="A2134" t="str">
        <f>"764383"</f>
        <v>764383</v>
      </c>
      <c r="B2134" t="s">
        <v>4182</v>
      </c>
      <c r="C2134" t="s">
        <v>4183</v>
      </c>
    </row>
    <row r="2135" spans="1:3" x14ac:dyDescent="0.25">
      <c r="A2135" t="str">
        <f>"767074"</f>
        <v>767074</v>
      </c>
      <c r="B2135" t="s">
        <v>4184</v>
      </c>
      <c r="C2135" t="s">
        <v>4185</v>
      </c>
    </row>
    <row r="2136" spans="1:3" x14ac:dyDescent="0.25">
      <c r="A2136" t="str">
        <f>"81883 "</f>
        <v xml:space="preserve">81883 </v>
      </c>
      <c r="B2136" t="s">
        <v>4186</v>
      </c>
      <c r="C2136" t="s">
        <v>4187</v>
      </c>
    </row>
    <row r="2137" spans="1:3" x14ac:dyDescent="0.25">
      <c r="A2137" t="str">
        <f>"764384"</f>
        <v>764384</v>
      </c>
      <c r="B2137" t="s">
        <v>4188</v>
      </c>
      <c r="C2137" t="s">
        <v>4189</v>
      </c>
    </row>
    <row r="2138" spans="1:3" x14ac:dyDescent="0.25">
      <c r="A2138" t="str">
        <f>"765021"</f>
        <v>765021</v>
      </c>
      <c r="B2138" t="s">
        <v>4190</v>
      </c>
      <c r="C2138" t="s">
        <v>4191</v>
      </c>
    </row>
    <row r="2139" spans="1:3" x14ac:dyDescent="0.25">
      <c r="A2139" t="str">
        <f>"81957 "</f>
        <v xml:space="preserve">81957 </v>
      </c>
      <c r="B2139" t="s">
        <v>4192</v>
      </c>
      <c r="C2139" t="s">
        <v>3506</v>
      </c>
    </row>
    <row r="2140" spans="1:3" x14ac:dyDescent="0.25">
      <c r="A2140" t="str">
        <f>"81785 "</f>
        <v xml:space="preserve">81785 </v>
      </c>
      <c r="B2140" t="s">
        <v>4193</v>
      </c>
      <c r="C2140" t="s">
        <v>4194</v>
      </c>
    </row>
    <row r="2141" spans="1:3" x14ac:dyDescent="0.25">
      <c r="A2141" t="str">
        <f>"763125"</f>
        <v>763125</v>
      </c>
      <c r="B2141" t="s">
        <v>4195</v>
      </c>
      <c r="C2141" t="s">
        <v>4196</v>
      </c>
    </row>
    <row r="2142" spans="1:3" x14ac:dyDescent="0.25">
      <c r="A2142" t="str">
        <f>"763126"</f>
        <v>763126</v>
      </c>
      <c r="B2142" t="s">
        <v>4197</v>
      </c>
      <c r="C2142" t="s">
        <v>4198</v>
      </c>
    </row>
    <row r="2143" spans="1:3" x14ac:dyDescent="0.25">
      <c r="A2143" t="str">
        <f>"763127"</f>
        <v>763127</v>
      </c>
      <c r="B2143" t="s">
        <v>2662</v>
      </c>
      <c r="C2143" t="s">
        <v>2663</v>
      </c>
    </row>
    <row r="2144" spans="1:3" x14ac:dyDescent="0.25">
      <c r="A2144" t="str">
        <f>"763128"</f>
        <v>763128</v>
      </c>
      <c r="B2144" t="s">
        <v>2666</v>
      </c>
      <c r="C2144" t="s">
        <v>4199</v>
      </c>
    </row>
    <row r="2145" spans="1:3" x14ac:dyDescent="0.25">
      <c r="A2145" t="str">
        <f>"763129"</f>
        <v>763129</v>
      </c>
      <c r="B2145" t="s">
        <v>2668</v>
      </c>
      <c r="C2145" t="s">
        <v>4200</v>
      </c>
    </row>
    <row r="2146" spans="1:3" x14ac:dyDescent="0.25">
      <c r="A2146" t="str">
        <f>"763130"</f>
        <v>763130</v>
      </c>
      <c r="B2146" t="s">
        <v>2676</v>
      </c>
      <c r="C2146" t="s">
        <v>4201</v>
      </c>
    </row>
    <row r="2147" spans="1:3" x14ac:dyDescent="0.25">
      <c r="A2147" t="str">
        <f>"763131"</f>
        <v>763131</v>
      </c>
      <c r="B2147" t="s">
        <v>2684</v>
      </c>
      <c r="C2147" t="s">
        <v>4202</v>
      </c>
    </row>
    <row r="2148" spans="1:3" x14ac:dyDescent="0.25">
      <c r="A2148" t="str">
        <f>"763132"</f>
        <v>763132</v>
      </c>
      <c r="B2148" t="s">
        <v>2690</v>
      </c>
      <c r="C2148" t="s">
        <v>3042</v>
      </c>
    </row>
    <row r="2149" spans="1:3" x14ac:dyDescent="0.25">
      <c r="A2149" t="str">
        <f>"763133"</f>
        <v>763133</v>
      </c>
      <c r="B2149" t="s">
        <v>2700</v>
      </c>
      <c r="C2149" t="s">
        <v>3051</v>
      </c>
    </row>
    <row r="2150" spans="1:3" x14ac:dyDescent="0.25">
      <c r="A2150" t="str">
        <f>"763134"</f>
        <v>763134</v>
      </c>
      <c r="B2150" t="s">
        <v>4203</v>
      </c>
      <c r="C2150" t="s">
        <v>4204</v>
      </c>
    </row>
    <row r="2151" spans="1:3" x14ac:dyDescent="0.25">
      <c r="A2151" t="str">
        <f>"763135"</f>
        <v>763135</v>
      </c>
      <c r="B2151" t="s">
        <v>2716</v>
      </c>
      <c r="C2151" t="s">
        <v>4205</v>
      </c>
    </row>
    <row r="2152" spans="1:3" x14ac:dyDescent="0.25">
      <c r="A2152" t="str">
        <f>"763136"</f>
        <v>763136</v>
      </c>
      <c r="B2152" t="s">
        <v>2726</v>
      </c>
      <c r="C2152" t="s">
        <v>4206</v>
      </c>
    </row>
    <row r="2153" spans="1:3" x14ac:dyDescent="0.25">
      <c r="A2153" t="str">
        <f>"763137"</f>
        <v>763137</v>
      </c>
      <c r="B2153" t="s">
        <v>2734</v>
      </c>
      <c r="C2153" t="s">
        <v>4207</v>
      </c>
    </row>
    <row r="2154" spans="1:3" x14ac:dyDescent="0.25">
      <c r="A2154" t="str">
        <f>"763138"</f>
        <v>763138</v>
      </c>
      <c r="B2154" t="s">
        <v>2736</v>
      </c>
      <c r="C2154" t="s">
        <v>3081</v>
      </c>
    </row>
    <row r="2155" spans="1:3" x14ac:dyDescent="0.25">
      <c r="A2155" t="str">
        <f>"763139"</f>
        <v>763139</v>
      </c>
      <c r="B2155" t="s">
        <v>2742</v>
      </c>
      <c r="C2155" t="s">
        <v>4208</v>
      </c>
    </row>
    <row r="2156" spans="1:3" x14ac:dyDescent="0.25">
      <c r="A2156" t="str">
        <f>"763140"</f>
        <v>763140</v>
      </c>
      <c r="B2156" t="s">
        <v>4209</v>
      </c>
      <c r="C2156" t="s">
        <v>3270</v>
      </c>
    </row>
    <row r="2157" spans="1:3" x14ac:dyDescent="0.25">
      <c r="A2157" t="str">
        <f>"763141"</f>
        <v>763141</v>
      </c>
      <c r="B2157" t="s">
        <v>2722</v>
      </c>
      <c r="C2157" t="s">
        <v>3071</v>
      </c>
    </row>
    <row r="2158" spans="1:3" x14ac:dyDescent="0.25">
      <c r="A2158" t="str">
        <f>"764385"</f>
        <v>764385</v>
      </c>
      <c r="B2158" t="s">
        <v>4210</v>
      </c>
      <c r="C2158" t="s">
        <v>4211</v>
      </c>
    </row>
    <row r="2159" spans="1:3" x14ac:dyDescent="0.25">
      <c r="A2159" t="str">
        <f>"764386"</f>
        <v>764386</v>
      </c>
      <c r="B2159" t="s">
        <v>4212</v>
      </c>
      <c r="C2159" t="s">
        <v>4213</v>
      </c>
    </row>
    <row r="2160" spans="1:3" x14ac:dyDescent="0.25">
      <c r="A2160" t="str">
        <f>"764387"</f>
        <v>764387</v>
      </c>
      <c r="B2160" t="s">
        <v>4214</v>
      </c>
      <c r="C2160" t="s">
        <v>4215</v>
      </c>
    </row>
    <row r="2161" spans="1:3" x14ac:dyDescent="0.25">
      <c r="A2161" t="str">
        <f>"764388"</f>
        <v>764388</v>
      </c>
      <c r="B2161" t="s">
        <v>4216</v>
      </c>
      <c r="C2161" t="s">
        <v>4217</v>
      </c>
    </row>
    <row r="2162" spans="1:3" x14ac:dyDescent="0.25">
      <c r="A2162" t="str">
        <f>"764389"</f>
        <v>764389</v>
      </c>
      <c r="B2162" t="s">
        <v>4218</v>
      </c>
      <c r="C2162" t="s">
        <v>2366</v>
      </c>
    </row>
    <row r="2163" spans="1:3" x14ac:dyDescent="0.25">
      <c r="A2163" t="str">
        <f>"764390"</f>
        <v>764390</v>
      </c>
      <c r="B2163" t="s">
        <v>4219</v>
      </c>
      <c r="C2163" t="s">
        <v>4220</v>
      </c>
    </row>
    <row r="2164" spans="1:3" x14ac:dyDescent="0.25">
      <c r="A2164" t="str">
        <f>"764391"</f>
        <v>764391</v>
      </c>
      <c r="B2164" t="s">
        <v>4221</v>
      </c>
      <c r="C2164" t="s">
        <v>4222</v>
      </c>
    </row>
    <row r="2165" spans="1:3" x14ac:dyDescent="0.25">
      <c r="A2165" t="str">
        <f>"764392"</f>
        <v>764392</v>
      </c>
      <c r="B2165" t="s">
        <v>4223</v>
      </c>
      <c r="C2165" t="s">
        <v>4224</v>
      </c>
    </row>
    <row r="2166" spans="1:3" x14ac:dyDescent="0.25">
      <c r="A2166" t="str">
        <f>"765022"</f>
        <v>765022</v>
      </c>
      <c r="B2166" t="s">
        <v>4225</v>
      </c>
      <c r="C2166" t="s">
        <v>4226</v>
      </c>
    </row>
    <row r="2167" spans="1:3" x14ac:dyDescent="0.25">
      <c r="A2167" t="str">
        <f>"762253"</f>
        <v>762253</v>
      </c>
      <c r="B2167" t="s">
        <v>4227</v>
      </c>
      <c r="C2167" t="s">
        <v>4228</v>
      </c>
    </row>
    <row r="2168" spans="1:3" x14ac:dyDescent="0.25">
      <c r="A2168" t="str">
        <f>"762254"</f>
        <v>762254</v>
      </c>
      <c r="B2168" t="s">
        <v>4229</v>
      </c>
      <c r="C2168" t="s">
        <v>4230</v>
      </c>
    </row>
    <row r="2169" spans="1:3" x14ac:dyDescent="0.25">
      <c r="A2169" t="str">
        <f>"763142"</f>
        <v>763142</v>
      </c>
      <c r="B2169" t="s">
        <v>4231</v>
      </c>
      <c r="C2169" t="s">
        <v>4232</v>
      </c>
    </row>
    <row r="2170" spans="1:3" x14ac:dyDescent="0.25">
      <c r="A2170" t="str">
        <f>"763143"</f>
        <v>763143</v>
      </c>
      <c r="B2170" t="s">
        <v>4233</v>
      </c>
      <c r="C2170" t="s">
        <v>4234</v>
      </c>
    </row>
    <row r="2171" spans="1:3" x14ac:dyDescent="0.25">
      <c r="A2171" t="str">
        <f>"763144"</f>
        <v>763144</v>
      </c>
      <c r="B2171" t="s">
        <v>2680</v>
      </c>
      <c r="C2171" t="s">
        <v>3034</v>
      </c>
    </row>
    <row r="2172" spans="1:3" x14ac:dyDescent="0.25">
      <c r="A2172" t="str">
        <f>"763145"</f>
        <v>763145</v>
      </c>
      <c r="B2172" t="s">
        <v>2682</v>
      </c>
      <c r="C2172" t="s">
        <v>3036</v>
      </c>
    </row>
    <row r="2173" spans="1:3" x14ac:dyDescent="0.25">
      <c r="A2173" t="str">
        <f>"763146"</f>
        <v>763146</v>
      </c>
      <c r="B2173" t="s">
        <v>2686</v>
      </c>
      <c r="C2173" t="s">
        <v>3039</v>
      </c>
    </row>
    <row r="2174" spans="1:3" x14ac:dyDescent="0.25">
      <c r="A2174" t="str">
        <f>"763147"</f>
        <v>763147</v>
      </c>
      <c r="B2174" t="s">
        <v>2724</v>
      </c>
      <c r="C2174" t="s">
        <v>4235</v>
      </c>
    </row>
    <row r="2175" spans="1:3" x14ac:dyDescent="0.25">
      <c r="A2175" t="str">
        <f>"763148"</f>
        <v>763148</v>
      </c>
      <c r="B2175" t="s">
        <v>2728</v>
      </c>
      <c r="C2175" t="s">
        <v>4236</v>
      </c>
    </row>
    <row r="2176" spans="1:3" x14ac:dyDescent="0.25">
      <c r="A2176" t="str">
        <f>"764393"</f>
        <v>764393</v>
      </c>
      <c r="B2176" t="s">
        <v>4237</v>
      </c>
      <c r="C2176" t="s">
        <v>4238</v>
      </c>
    </row>
    <row r="2177" spans="1:3" x14ac:dyDescent="0.25">
      <c r="A2177" t="str">
        <f>"764394"</f>
        <v>764394</v>
      </c>
      <c r="B2177" t="s">
        <v>4239</v>
      </c>
      <c r="C2177" t="s">
        <v>4240</v>
      </c>
    </row>
    <row r="2178" spans="1:3" x14ac:dyDescent="0.25">
      <c r="A2178" t="str">
        <f>"764395"</f>
        <v>764395</v>
      </c>
      <c r="B2178" t="s">
        <v>4241</v>
      </c>
      <c r="C2178" t="s">
        <v>4242</v>
      </c>
    </row>
    <row r="2179" spans="1:3" x14ac:dyDescent="0.25">
      <c r="A2179" t="str">
        <f>"764396"</f>
        <v>764396</v>
      </c>
      <c r="B2179" t="s">
        <v>4243</v>
      </c>
      <c r="C2179" t="s">
        <v>4244</v>
      </c>
    </row>
    <row r="2180" spans="1:3" x14ac:dyDescent="0.25">
      <c r="A2180" t="str">
        <f>"811826"</f>
        <v>811826</v>
      </c>
      <c r="B2180" t="s">
        <v>4245</v>
      </c>
      <c r="C2180" t="s">
        <v>4246</v>
      </c>
    </row>
    <row r="2181" spans="1:3" x14ac:dyDescent="0.25">
      <c r="A2181" t="str">
        <f>"81933 "</f>
        <v xml:space="preserve">81933 </v>
      </c>
      <c r="B2181" t="s">
        <v>4247</v>
      </c>
      <c r="C2181" t="s">
        <v>4248</v>
      </c>
    </row>
    <row r="2182" spans="1:3" x14ac:dyDescent="0.25">
      <c r="A2182" t="str">
        <f>"81382 "</f>
        <v xml:space="preserve">81382 </v>
      </c>
      <c r="B2182" t="s">
        <v>4249</v>
      </c>
      <c r="C2182" t="s">
        <v>4250</v>
      </c>
    </row>
    <row r="2183" spans="1:3" x14ac:dyDescent="0.25">
      <c r="A2183" t="str">
        <f>"761249"</f>
        <v>761249</v>
      </c>
      <c r="B2183" t="s">
        <v>4251</v>
      </c>
      <c r="C2183" t="s">
        <v>4252</v>
      </c>
    </row>
    <row r="2184" spans="1:3" x14ac:dyDescent="0.25">
      <c r="A2184" t="str">
        <f>"761250"</f>
        <v>761250</v>
      </c>
      <c r="B2184" t="s">
        <v>4253</v>
      </c>
      <c r="C2184" t="s">
        <v>4254</v>
      </c>
    </row>
    <row r="2185" spans="1:3" x14ac:dyDescent="0.25">
      <c r="A2185" t="str">
        <f>"762255"</f>
        <v>762255</v>
      </c>
      <c r="B2185" t="s">
        <v>4255</v>
      </c>
      <c r="C2185" t="s">
        <v>4256</v>
      </c>
    </row>
    <row r="2186" spans="1:3" x14ac:dyDescent="0.25">
      <c r="A2186" t="str">
        <f>"763149"</f>
        <v>763149</v>
      </c>
      <c r="B2186" t="s">
        <v>4257</v>
      </c>
      <c r="C2186" t="s">
        <v>4258</v>
      </c>
    </row>
    <row r="2187" spans="1:3" x14ac:dyDescent="0.25">
      <c r="A2187" t="str">
        <f>"764397"</f>
        <v>764397</v>
      </c>
      <c r="B2187" t="s">
        <v>4259</v>
      </c>
      <c r="C2187" t="s">
        <v>4260</v>
      </c>
    </row>
    <row r="2188" spans="1:3" x14ac:dyDescent="0.25">
      <c r="A2188" t="str">
        <f>"764398"</f>
        <v>764398</v>
      </c>
      <c r="B2188" t="s">
        <v>4261</v>
      </c>
      <c r="C2188" t="s">
        <v>4262</v>
      </c>
    </row>
    <row r="2189" spans="1:3" x14ac:dyDescent="0.25">
      <c r="A2189" t="str">
        <f>"764399"</f>
        <v>764399</v>
      </c>
      <c r="B2189" t="s">
        <v>4263</v>
      </c>
      <c r="C2189" t="s">
        <v>4264</v>
      </c>
    </row>
    <row r="2190" spans="1:3" x14ac:dyDescent="0.25">
      <c r="A2190" t="str">
        <f>"761251"</f>
        <v>761251</v>
      </c>
      <c r="B2190" t="s">
        <v>4265</v>
      </c>
      <c r="C2190" t="s">
        <v>4266</v>
      </c>
    </row>
    <row r="2191" spans="1:3" x14ac:dyDescent="0.25">
      <c r="A2191" t="str">
        <f>"762256"</f>
        <v>762256</v>
      </c>
      <c r="B2191" t="s">
        <v>4267</v>
      </c>
      <c r="C2191" t="s">
        <v>4268</v>
      </c>
    </row>
    <row r="2192" spans="1:3" x14ac:dyDescent="0.25">
      <c r="A2192" t="str">
        <f>"762257"</f>
        <v>762257</v>
      </c>
      <c r="B2192" t="s">
        <v>4269</v>
      </c>
      <c r="C2192" t="s">
        <v>4270</v>
      </c>
    </row>
    <row r="2193" spans="1:3" x14ac:dyDescent="0.25">
      <c r="A2193" t="str">
        <f>"762258"</f>
        <v>762258</v>
      </c>
      <c r="B2193" t="s">
        <v>4271</v>
      </c>
      <c r="C2193" t="s">
        <v>4272</v>
      </c>
    </row>
    <row r="2194" spans="1:3" x14ac:dyDescent="0.25">
      <c r="A2194" t="str">
        <f>"764400"</f>
        <v>764400</v>
      </c>
      <c r="B2194" t="s">
        <v>4273</v>
      </c>
      <c r="C2194" t="s">
        <v>4274</v>
      </c>
    </row>
    <row r="2195" spans="1:3" x14ac:dyDescent="0.25">
      <c r="A2195" t="str">
        <f>"764401"</f>
        <v>764401</v>
      </c>
      <c r="B2195" t="s">
        <v>4275</v>
      </c>
      <c r="C2195" t="s">
        <v>4276</v>
      </c>
    </row>
    <row r="2196" spans="1:3" x14ac:dyDescent="0.25">
      <c r="A2196" t="str">
        <f>"764402"</f>
        <v>764402</v>
      </c>
      <c r="B2196" t="s">
        <v>4277</v>
      </c>
      <c r="C2196" t="s">
        <v>4278</v>
      </c>
    </row>
    <row r="2197" spans="1:3" x14ac:dyDescent="0.25">
      <c r="A2197" t="str">
        <f>"764403"</f>
        <v>764403</v>
      </c>
      <c r="B2197" t="s">
        <v>4279</v>
      </c>
      <c r="C2197" t="s">
        <v>4280</v>
      </c>
    </row>
    <row r="2198" spans="1:3" x14ac:dyDescent="0.25">
      <c r="A2198" t="str">
        <f>"764404"</f>
        <v>764404</v>
      </c>
      <c r="B2198" t="s">
        <v>4281</v>
      </c>
      <c r="C2198" t="s">
        <v>4282</v>
      </c>
    </row>
    <row r="2199" spans="1:3" x14ac:dyDescent="0.25">
      <c r="A2199" t="str">
        <f>"763150"</f>
        <v>763150</v>
      </c>
      <c r="B2199" t="s">
        <v>4283</v>
      </c>
      <c r="C2199" t="s">
        <v>4284</v>
      </c>
    </row>
    <row r="2200" spans="1:3" x14ac:dyDescent="0.25">
      <c r="A2200" t="str">
        <f>"763151"</f>
        <v>763151</v>
      </c>
      <c r="B2200" t="s">
        <v>4285</v>
      </c>
      <c r="C2200" t="s">
        <v>4286</v>
      </c>
    </row>
    <row r="2201" spans="1:3" x14ac:dyDescent="0.25">
      <c r="A2201" t="str">
        <f>"763152"</f>
        <v>763152</v>
      </c>
      <c r="B2201" t="s">
        <v>4287</v>
      </c>
      <c r="C2201" t="s">
        <v>4288</v>
      </c>
    </row>
    <row r="2202" spans="1:3" x14ac:dyDescent="0.25">
      <c r="A2202" t="str">
        <f>"767075"</f>
        <v>767075</v>
      </c>
      <c r="B2202" t="s">
        <v>4289</v>
      </c>
      <c r="C2202" t="s">
        <v>4290</v>
      </c>
    </row>
    <row r="2203" spans="1:3" x14ac:dyDescent="0.25">
      <c r="A2203" t="str">
        <f>"761252"</f>
        <v>761252</v>
      </c>
      <c r="B2203" t="s">
        <v>4291</v>
      </c>
      <c r="C2203" t="s">
        <v>4292</v>
      </c>
    </row>
    <row r="2204" spans="1:3" x14ac:dyDescent="0.25">
      <c r="A2204" t="str">
        <f>"762259"</f>
        <v>762259</v>
      </c>
      <c r="B2204" t="s">
        <v>4293</v>
      </c>
      <c r="C2204" t="s">
        <v>4294</v>
      </c>
    </row>
    <row r="2205" spans="1:3" x14ac:dyDescent="0.25">
      <c r="A2205" t="str">
        <f>"762260"</f>
        <v>762260</v>
      </c>
      <c r="B2205" t="s">
        <v>4295</v>
      </c>
      <c r="C2205" t="s">
        <v>4296</v>
      </c>
    </row>
    <row r="2206" spans="1:3" x14ac:dyDescent="0.25">
      <c r="A2206" t="str">
        <f>"764405"</f>
        <v>764405</v>
      </c>
      <c r="B2206" t="s">
        <v>4297</v>
      </c>
      <c r="C2206" t="s">
        <v>4298</v>
      </c>
    </row>
    <row r="2207" spans="1:3" x14ac:dyDescent="0.25">
      <c r="A2207" t="str">
        <f>"764406"</f>
        <v>764406</v>
      </c>
      <c r="B2207" t="s">
        <v>4299</v>
      </c>
      <c r="C2207" t="s">
        <v>4300</v>
      </c>
    </row>
    <row r="2208" spans="1:3" x14ac:dyDescent="0.25">
      <c r="A2208" t="str">
        <f>"764407"</f>
        <v>764407</v>
      </c>
      <c r="B2208" t="s">
        <v>4301</v>
      </c>
      <c r="C2208" t="s">
        <v>4302</v>
      </c>
    </row>
    <row r="2209" spans="1:3" x14ac:dyDescent="0.25">
      <c r="A2209" t="str">
        <f>"764408"</f>
        <v>764408</v>
      </c>
      <c r="B2209" t="s">
        <v>4303</v>
      </c>
      <c r="C2209" t="s">
        <v>4304</v>
      </c>
    </row>
    <row r="2210" spans="1:3" x14ac:dyDescent="0.25">
      <c r="A2210" t="str">
        <f>"761253"</f>
        <v>761253</v>
      </c>
      <c r="B2210" t="s">
        <v>4305</v>
      </c>
      <c r="C2210" t="s">
        <v>4306</v>
      </c>
    </row>
    <row r="2211" spans="1:3" x14ac:dyDescent="0.25">
      <c r="A2211" t="str">
        <f>"761254"</f>
        <v>761254</v>
      </c>
      <c r="B2211" t="s">
        <v>4307</v>
      </c>
      <c r="C2211" t="s">
        <v>4308</v>
      </c>
    </row>
    <row r="2212" spans="1:3" x14ac:dyDescent="0.25">
      <c r="A2212" t="str">
        <f>"762261"</f>
        <v>762261</v>
      </c>
      <c r="B2212" t="s">
        <v>4309</v>
      </c>
      <c r="C2212" t="s">
        <v>4310</v>
      </c>
    </row>
    <row r="2213" spans="1:3" x14ac:dyDescent="0.25">
      <c r="A2213" t="str">
        <f>"762262"</f>
        <v>762262</v>
      </c>
      <c r="B2213" t="s">
        <v>4311</v>
      </c>
      <c r="C2213" t="s">
        <v>4312</v>
      </c>
    </row>
    <row r="2214" spans="1:3" x14ac:dyDescent="0.25">
      <c r="A2214" t="str">
        <f>"762263"</f>
        <v>762263</v>
      </c>
      <c r="B2214" t="s">
        <v>4313</v>
      </c>
      <c r="C2214" t="s">
        <v>4314</v>
      </c>
    </row>
    <row r="2215" spans="1:3" x14ac:dyDescent="0.25">
      <c r="A2215" t="str">
        <f>"763153"</f>
        <v>763153</v>
      </c>
      <c r="B2215" t="s">
        <v>4315</v>
      </c>
      <c r="C2215" t="s">
        <v>4316</v>
      </c>
    </row>
    <row r="2216" spans="1:3" x14ac:dyDescent="0.25">
      <c r="A2216" t="str">
        <f>"764409"</f>
        <v>764409</v>
      </c>
      <c r="B2216" t="s">
        <v>4317</v>
      </c>
      <c r="C2216" t="s">
        <v>4318</v>
      </c>
    </row>
    <row r="2217" spans="1:3" x14ac:dyDescent="0.25">
      <c r="A2217" t="str">
        <f>"764410"</f>
        <v>764410</v>
      </c>
      <c r="B2217" t="s">
        <v>4319</v>
      </c>
      <c r="C2217" t="s">
        <v>4320</v>
      </c>
    </row>
    <row r="2218" spans="1:3" x14ac:dyDescent="0.25">
      <c r="A2218" t="str">
        <f>"763154"</f>
        <v>763154</v>
      </c>
      <c r="B2218" t="s">
        <v>4321</v>
      </c>
      <c r="C2218" t="s">
        <v>4322</v>
      </c>
    </row>
    <row r="2219" spans="1:3" x14ac:dyDescent="0.25">
      <c r="A2219" t="str">
        <f>"761255"</f>
        <v>761255</v>
      </c>
      <c r="B2219" t="s">
        <v>4323</v>
      </c>
      <c r="C2219" t="s">
        <v>4324</v>
      </c>
    </row>
    <row r="2220" spans="1:3" x14ac:dyDescent="0.25">
      <c r="A2220" t="str">
        <f>"761256"</f>
        <v>761256</v>
      </c>
      <c r="B2220" t="s">
        <v>4325</v>
      </c>
      <c r="C2220" t="s">
        <v>4326</v>
      </c>
    </row>
    <row r="2221" spans="1:3" x14ac:dyDescent="0.25">
      <c r="A2221" t="str">
        <f>"762264"</f>
        <v>762264</v>
      </c>
      <c r="B2221" t="s">
        <v>4327</v>
      </c>
      <c r="C2221" t="s">
        <v>4328</v>
      </c>
    </row>
    <row r="2222" spans="1:3" x14ac:dyDescent="0.25">
      <c r="A2222" t="str">
        <f>"762265"</f>
        <v>762265</v>
      </c>
      <c r="B2222" t="s">
        <v>4329</v>
      </c>
      <c r="C2222" t="s">
        <v>4330</v>
      </c>
    </row>
    <row r="2223" spans="1:3" x14ac:dyDescent="0.25">
      <c r="A2223" t="str">
        <f>"762266"</f>
        <v>762266</v>
      </c>
      <c r="B2223" t="s">
        <v>4331</v>
      </c>
      <c r="C2223" t="s">
        <v>4332</v>
      </c>
    </row>
    <row r="2224" spans="1:3" x14ac:dyDescent="0.25">
      <c r="A2224" t="str">
        <f>"764411"</f>
        <v>764411</v>
      </c>
      <c r="B2224" t="s">
        <v>4333</v>
      </c>
      <c r="C2224" t="s">
        <v>4333</v>
      </c>
    </row>
    <row r="2225" spans="1:3" x14ac:dyDescent="0.25">
      <c r="A2225" t="str">
        <f>"764412"</f>
        <v>764412</v>
      </c>
      <c r="B2225" t="s">
        <v>4334</v>
      </c>
      <c r="C2225" t="s">
        <v>4334</v>
      </c>
    </row>
    <row r="2226" spans="1:3" x14ac:dyDescent="0.25">
      <c r="A2226" t="str">
        <f>"764413"</f>
        <v>764413</v>
      </c>
      <c r="B2226" t="s">
        <v>4335</v>
      </c>
      <c r="C2226" t="s">
        <v>4336</v>
      </c>
    </row>
    <row r="2227" spans="1:3" x14ac:dyDescent="0.25">
      <c r="A2227" t="str">
        <f>"764414"</f>
        <v>764414</v>
      </c>
      <c r="B2227" t="s">
        <v>4337</v>
      </c>
      <c r="C2227" t="s">
        <v>4338</v>
      </c>
    </row>
    <row r="2228" spans="1:3" x14ac:dyDescent="0.25">
      <c r="A2228" t="str">
        <f>"81945 "</f>
        <v xml:space="preserve">81945 </v>
      </c>
      <c r="B2228" t="s">
        <v>4339</v>
      </c>
      <c r="C2228" t="s">
        <v>4340</v>
      </c>
    </row>
    <row r="2229" spans="1:3" x14ac:dyDescent="0.25">
      <c r="A2229" t="str">
        <f>"81484 "</f>
        <v xml:space="preserve">81484 </v>
      </c>
      <c r="B2229" t="s">
        <v>4341</v>
      </c>
      <c r="C2229" t="s">
        <v>4342</v>
      </c>
    </row>
    <row r="2230" spans="1:3" x14ac:dyDescent="0.25">
      <c r="A2230" t="str">
        <f>"767076"</f>
        <v>767076</v>
      </c>
      <c r="B2230" t="s">
        <v>4343</v>
      </c>
      <c r="C2230" t="s">
        <v>4344</v>
      </c>
    </row>
    <row r="2231" spans="1:3" x14ac:dyDescent="0.25">
      <c r="A2231" t="str">
        <f>"763155"</f>
        <v>763155</v>
      </c>
      <c r="B2231" t="s">
        <v>4345</v>
      </c>
      <c r="C2231" t="s">
        <v>4346</v>
      </c>
    </row>
    <row r="2232" spans="1:3" x14ac:dyDescent="0.25">
      <c r="A2232" t="str">
        <f>"764415"</f>
        <v>764415</v>
      </c>
      <c r="B2232" t="s">
        <v>4347</v>
      </c>
      <c r="C2232" t="s">
        <v>4348</v>
      </c>
    </row>
    <row r="2233" spans="1:3" x14ac:dyDescent="0.25">
      <c r="A2233" t="str">
        <f>"81946 "</f>
        <v xml:space="preserve">81946 </v>
      </c>
      <c r="B2233" t="s">
        <v>4349</v>
      </c>
      <c r="C2233" t="s">
        <v>4350</v>
      </c>
    </row>
    <row r="2234" spans="1:3" x14ac:dyDescent="0.25">
      <c r="A2234" t="str">
        <f>"811828"</f>
        <v>811828</v>
      </c>
      <c r="B2234" t="s">
        <v>4351</v>
      </c>
      <c r="C2234" t="s">
        <v>4352</v>
      </c>
    </row>
    <row r="2235" spans="1:3" x14ac:dyDescent="0.25">
      <c r="A2235" t="str">
        <f>"811827"</f>
        <v>811827</v>
      </c>
      <c r="B2235" t="s">
        <v>4353</v>
      </c>
      <c r="C2235" t="s">
        <v>4354</v>
      </c>
    </row>
    <row r="2236" spans="1:3" x14ac:dyDescent="0.25">
      <c r="A2236" t="str">
        <f>"81958 "</f>
        <v xml:space="preserve">81958 </v>
      </c>
      <c r="B2236" t="s">
        <v>4355</v>
      </c>
      <c r="C2236" t="s">
        <v>4356</v>
      </c>
    </row>
    <row r="2237" spans="1:3" x14ac:dyDescent="0.25">
      <c r="A2237" t="str">
        <f>"81959 "</f>
        <v xml:space="preserve">81959 </v>
      </c>
      <c r="B2237" t="s">
        <v>4357</v>
      </c>
      <c r="C2237" t="s">
        <v>4358</v>
      </c>
    </row>
    <row r="2238" spans="1:3" x14ac:dyDescent="0.25">
      <c r="A2238" t="str">
        <f>"819510"</f>
        <v>819510</v>
      </c>
      <c r="B2238" t="s">
        <v>4359</v>
      </c>
      <c r="C2238" t="s">
        <v>4360</v>
      </c>
    </row>
    <row r="2239" spans="1:3" x14ac:dyDescent="0.25">
      <c r="A2239" t="str">
        <f>"819511"</f>
        <v>819511</v>
      </c>
      <c r="B2239" t="s">
        <v>4361</v>
      </c>
      <c r="C2239" t="s">
        <v>4362</v>
      </c>
    </row>
    <row r="2240" spans="1:3" x14ac:dyDescent="0.25">
      <c r="A2240" t="str">
        <f>"819513"</f>
        <v>819513</v>
      </c>
      <c r="B2240" t="s">
        <v>4363</v>
      </c>
      <c r="C2240" t="s">
        <v>4364</v>
      </c>
    </row>
    <row r="2241" spans="1:3" x14ac:dyDescent="0.25">
      <c r="A2241" t="str">
        <f>"819512"</f>
        <v>819512</v>
      </c>
      <c r="B2241" t="s">
        <v>4365</v>
      </c>
      <c r="C2241" t="s">
        <v>4366</v>
      </c>
    </row>
    <row r="2242" spans="1:3" x14ac:dyDescent="0.25">
      <c r="A2242" t="str">
        <f>"81796 "</f>
        <v xml:space="preserve">81796 </v>
      </c>
      <c r="B2242" t="s">
        <v>4367</v>
      </c>
      <c r="C2242" t="s">
        <v>4368</v>
      </c>
    </row>
    <row r="2243" spans="1:3" x14ac:dyDescent="0.25">
      <c r="A2243" t="str">
        <f>"81795 "</f>
        <v xml:space="preserve">81795 </v>
      </c>
      <c r="B2243" t="s">
        <v>4369</v>
      </c>
      <c r="C2243" t="s">
        <v>4370</v>
      </c>
    </row>
    <row r="2244" spans="1:3" x14ac:dyDescent="0.25">
      <c r="A2244" t="str">
        <f>"89432 "</f>
        <v xml:space="preserve">89432 </v>
      </c>
      <c r="B2244" t="s">
        <v>4371</v>
      </c>
      <c r="C2244" t="s">
        <v>4372</v>
      </c>
    </row>
    <row r="2245" spans="1:3" x14ac:dyDescent="0.25">
      <c r="A2245" t="str">
        <f>"767077"</f>
        <v>767077</v>
      </c>
      <c r="B2245" t="s">
        <v>4373</v>
      </c>
      <c r="C2245" t="s">
        <v>4374</v>
      </c>
    </row>
    <row r="2246" spans="1:3" x14ac:dyDescent="0.25">
      <c r="A2246" t="str">
        <f>"764416"</f>
        <v>764416</v>
      </c>
      <c r="B2246" t="s">
        <v>4375</v>
      </c>
      <c r="C2246" t="s">
        <v>4376</v>
      </c>
    </row>
    <row r="2247" spans="1:3" x14ac:dyDescent="0.25">
      <c r="A2247" t="str">
        <f>"764417"</f>
        <v>764417</v>
      </c>
      <c r="B2247" t="s">
        <v>4377</v>
      </c>
      <c r="C2247" t="s">
        <v>4378</v>
      </c>
    </row>
    <row r="2248" spans="1:3" x14ac:dyDescent="0.25">
      <c r="A2248" t="str">
        <f>"761264"</f>
        <v>761264</v>
      </c>
      <c r="B2248" t="s">
        <v>4379</v>
      </c>
      <c r="C2248" t="s">
        <v>4380</v>
      </c>
    </row>
    <row r="2249" spans="1:3" x14ac:dyDescent="0.25">
      <c r="A2249" t="str">
        <f>"764419"</f>
        <v>764419</v>
      </c>
      <c r="B2249" t="s">
        <v>4381</v>
      </c>
      <c r="C2249" t="s">
        <v>4382</v>
      </c>
    </row>
    <row r="2250" spans="1:3" x14ac:dyDescent="0.25">
      <c r="A2250" t="str">
        <f>"764422"</f>
        <v>764422</v>
      </c>
      <c r="B2250" t="s">
        <v>4383</v>
      </c>
      <c r="C2250" t="s">
        <v>4384</v>
      </c>
    </row>
    <row r="2251" spans="1:3" x14ac:dyDescent="0.25">
      <c r="A2251" t="str">
        <f>"762267"</f>
        <v>762267</v>
      </c>
      <c r="B2251" t="s">
        <v>4385</v>
      </c>
      <c r="C2251" t="s">
        <v>4386</v>
      </c>
    </row>
    <row r="2252" spans="1:3" x14ac:dyDescent="0.25">
      <c r="A2252" t="str">
        <f>"762268"</f>
        <v>762268</v>
      </c>
      <c r="B2252" t="s">
        <v>4387</v>
      </c>
      <c r="C2252" t="s">
        <v>4388</v>
      </c>
    </row>
    <row r="2253" spans="1:3" x14ac:dyDescent="0.25">
      <c r="A2253" t="str">
        <f>"762269"</f>
        <v>762269</v>
      </c>
      <c r="B2253" t="s">
        <v>4389</v>
      </c>
      <c r="C2253" t="s">
        <v>4390</v>
      </c>
    </row>
    <row r="2254" spans="1:3" x14ac:dyDescent="0.25">
      <c r="A2254" t="str">
        <f>"762282"</f>
        <v>762282</v>
      </c>
      <c r="B2254" t="s">
        <v>4391</v>
      </c>
      <c r="C2254" t="s">
        <v>4392</v>
      </c>
    </row>
    <row r="2255" spans="1:3" x14ac:dyDescent="0.25">
      <c r="A2255" t="str">
        <f>"764418"</f>
        <v>764418</v>
      </c>
      <c r="B2255" t="s">
        <v>4393</v>
      </c>
      <c r="C2255" t="s">
        <v>4394</v>
      </c>
    </row>
    <row r="2256" spans="1:3" x14ac:dyDescent="0.25">
      <c r="A2256" t="str">
        <f>"764420"</f>
        <v>764420</v>
      </c>
      <c r="B2256" t="s">
        <v>4395</v>
      </c>
      <c r="C2256" t="s">
        <v>4396</v>
      </c>
    </row>
    <row r="2257" spans="1:3" x14ac:dyDescent="0.25">
      <c r="A2257" t="str">
        <f>"764421"</f>
        <v>764421</v>
      </c>
      <c r="B2257" t="s">
        <v>4397</v>
      </c>
      <c r="C2257" t="s">
        <v>4398</v>
      </c>
    </row>
    <row r="2258" spans="1:3" x14ac:dyDescent="0.25">
      <c r="A2258" t="str">
        <f>"761257"</f>
        <v>761257</v>
      </c>
      <c r="B2258" t="s">
        <v>4399</v>
      </c>
      <c r="C2258" t="s">
        <v>4400</v>
      </c>
    </row>
    <row r="2259" spans="1:3" x14ac:dyDescent="0.25">
      <c r="A2259" t="str">
        <f>"761258"</f>
        <v>761258</v>
      </c>
      <c r="B2259" t="s">
        <v>4401</v>
      </c>
      <c r="C2259" t="s">
        <v>4402</v>
      </c>
    </row>
    <row r="2260" spans="1:3" x14ac:dyDescent="0.25">
      <c r="A2260" t="str">
        <f>"81754 "</f>
        <v xml:space="preserve">81754 </v>
      </c>
      <c r="B2260" t="s">
        <v>4403</v>
      </c>
      <c r="C2260" t="s">
        <v>4404</v>
      </c>
    </row>
    <row r="2261" spans="1:3" x14ac:dyDescent="0.25">
      <c r="A2261" t="str">
        <f>"81755 "</f>
        <v xml:space="preserve">81755 </v>
      </c>
      <c r="B2261" t="s">
        <v>4405</v>
      </c>
      <c r="C2261" t="s">
        <v>4406</v>
      </c>
    </row>
    <row r="2262" spans="1:3" x14ac:dyDescent="0.25">
      <c r="A2262" t="str">
        <f>"81756 "</f>
        <v xml:space="preserve">81756 </v>
      </c>
      <c r="B2262" t="s">
        <v>4407</v>
      </c>
      <c r="C2262" t="s">
        <v>4408</v>
      </c>
    </row>
    <row r="2263" spans="1:3" x14ac:dyDescent="0.25">
      <c r="A2263" t="str">
        <f>"761259"</f>
        <v>761259</v>
      </c>
      <c r="B2263" t="s">
        <v>4409</v>
      </c>
      <c r="C2263" t="s">
        <v>4410</v>
      </c>
    </row>
    <row r="2264" spans="1:3" x14ac:dyDescent="0.25">
      <c r="A2264" t="str">
        <f>"762270"</f>
        <v>762270</v>
      </c>
      <c r="B2264" t="s">
        <v>4411</v>
      </c>
      <c r="C2264" t="s">
        <v>4412</v>
      </c>
    </row>
    <row r="2265" spans="1:3" x14ac:dyDescent="0.25">
      <c r="A2265" t="str">
        <f>"763156"</f>
        <v>763156</v>
      </c>
      <c r="B2265" t="s">
        <v>4413</v>
      </c>
      <c r="C2265" t="s">
        <v>4414</v>
      </c>
    </row>
    <row r="2266" spans="1:3" x14ac:dyDescent="0.25">
      <c r="A2266" t="str">
        <f>"764425"</f>
        <v>764425</v>
      </c>
      <c r="B2266" t="s">
        <v>4415</v>
      </c>
      <c r="C2266" t="s">
        <v>4416</v>
      </c>
    </row>
    <row r="2267" spans="1:3" x14ac:dyDescent="0.25">
      <c r="A2267" t="str">
        <f>"761262"</f>
        <v>761262</v>
      </c>
      <c r="B2267" t="s">
        <v>4417</v>
      </c>
      <c r="C2267" t="s">
        <v>4418</v>
      </c>
    </row>
    <row r="2268" spans="1:3" x14ac:dyDescent="0.25">
      <c r="A2268" t="str">
        <f>"764423"</f>
        <v>764423</v>
      </c>
      <c r="B2268" t="s">
        <v>4419</v>
      </c>
      <c r="C2268" t="s">
        <v>4420</v>
      </c>
    </row>
    <row r="2269" spans="1:3" x14ac:dyDescent="0.25">
      <c r="A2269" t="str">
        <f>"764426"</f>
        <v>764426</v>
      </c>
      <c r="B2269" t="s">
        <v>4421</v>
      </c>
      <c r="C2269" t="s">
        <v>4422</v>
      </c>
    </row>
    <row r="2270" spans="1:3" x14ac:dyDescent="0.25">
      <c r="A2270" t="str">
        <f>"764432"</f>
        <v>764432</v>
      </c>
      <c r="B2270" t="s">
        <v>4423</v>
      </c>
      <c r="C2270" t="s">
        <v>4424</v>
      </c>
    </row>
    <row r="2271" spans="1:3" x14ac:dyDescent="0.25">
      <c r="A2271" t="str">
        <f>"764424"</f>
        <v>764424</v>
      </c>
      <c r="B2271" t="s">
        <v>4425</v>
      </c>
      <c r="C2271" t="s">
        <v>4426</v>
      </c>
    </row>
    <row r="2272" spans="1:3" x14ac:dyDescent="0.25">
      <c r="A2272" t="str">
        <f>"763161"</f>
        <v>763161</v>
      </c>
      <c r="B2272" t="s">
        <v>4427</v>
      </c>
      <c r="C2272" t="s">
        <v>4428</v>
      </c>
    </row>
    <row r="2273" spans="1:3" x14ac:dyDescent="0.25">
      <c r="A2273" t="str">
        <f>"764447"</f>
        <v>764447</v>
      </c>
      <c r="B2273" t="s">
        <v>4429</v>
      </c>
      <c r="C2273" t="s">
        <v>4430</v>
      </c>
    </row>
    <row r="2274" spans="1:3" x14ac:dyDescent="0.25">
      <c r="A2274" t="str">
        <f>"764448"</f>
        <v>764448</v>
      </c>
      <c r="B2274" t="s">
        <v>4431</v>
      </c>
      <c r="C2274" t="s">
        <v>4432</v>
      </c>
    </row>
    <row r="2275" spans="1:3" x14ac:dyDescent="0.25">
      <c r="A2275" t="str">
        <f>"763157"</f>
        <v>763157</v>
      </c>
      <c r="B2275" t="s">
        <v>4433</v>
      </c>
      <c r="C2275" t="s">
        <v>4434</v>
      </c>
    </row>
    <row r="2276" spans="1:3" x14ac:dyDescent="0.25">
      <c r="A2276" t="str">
        <f>"762278"</f>
        <v>762278</v>
      </c>
      <c r="B2276" t="s">
        <v>4435</v>
      </c>
      <c r="C2276" t="s">
        <v>4436</v>
      </c>
    </row>
    <row r="2277" spans="1:3" x14ac:dyDescent="0.25">
      <c r="A2277" t="str">
        <f>"764449"</f>
        <v>764449</v>
      </c>
      <c r="B2277" t="s">
        <v>4437</v>
      </c>
      <c r="C2277" t="s">
        <v>4438</v>
      </c>
    </row>
    <row r="2278" spans="1:3" x14ac:dyDescent="0.25">
      <c r="A2278" t="str">
        <f>"763165"</f>
        <v>763165</v>
      </c>
      <c r="B2278" t="s">
        <v>4439</v>
      </c>
      <c r="C2278" t="s">
        <v>4440</v>
      </c>
    </row>
    <row r="2279" spans="1:3" x14ac:dyDescent="0.25">
      <c r="A2279" t="str">
        <f>"811829"</f>
        <v>811829</v>
      </c>
      <c r="B2279" t="s">
        <v>4441</v>
      </c>
      <c r="C2279" t="s">
        <v>4442</v>
      </c>
    </row>
    <row r="2280" spans="1:3" x14ac:dyDescent="0.25">
      <c r="A2280" t="str">
        <f>"811830"</f>
        <v>811830</v>
      </c>
      <c r="B2280" t="s">
        <v>4443</v>
      </c>
      <c r="C2280" t="s">
        <v>4444</v>
      </c>
    </row>
    <row r="2281" spans="1:3" x14ac:dyDescent="0.25">
      <c r="A2281" t="str">
        <f>"811831"</f>
        <v>811831</v>
      </c>
      <c r="B2281" t="s">
        <v>4445</v>
      </c>
      <c r="C2281" t="s">
        <v>4446</v>
      </c>
    </row>
    <row r="2282" spans="1:3" x14ac:dyDescent="0.25">
      <c r="A2282" t="str">
        <f>"811832"</f>
        <v>811832</v>
      </c>
      <c r="B2282" t="s">
        <v>4447</v>
      </c>
      <c r="C2282" t="s">
        <v>4448</v>
      </c>
    </row>
    <row r="2283" spans="1:3" x14ac:dyDescent="0.25">
      <c r="A2283" t="str">
        <f>"764427"</f>
        <v>764427</v>
      </c>
      <c r="B2283" t="s">
        <v>4449</v>
      </c>
      <c r="C2283" t="s">
        <v>4450</v>
      </c>
    </row>
    <row r="2284" spans="1:3" x14ac:dyDescent="0.25">
      <c r="A2284" t="str">
        <f>"764429"</f>
        <v>764429</v>
      </c>
      <c r="B2284" t="s">
        <v>4451</v>
      </c>
      <c r="C2284" t="s">
        <v>4452</v>
      </c>
    </row>
    <row r="2285" spans="1:3" x14ac:dyDescent="0.25">
      <c r="A2285" t="str">
        <f>"764431"</f>
        <v>764431</v>
      </c>
      <c r="B2285" t="s">
        <v>4453</v>
      </c>
      <c r="C2285" t="s">
        <v>4454</v>
      </c>
    </row>
    <row r="2286" spans="1:3" x14ac:dyDescent="0.25">
      <c r="A2286" t="str">
        <f>"764434"</f>
        <v>764434</v>
      </c>
      <c r="B2286" t="s">
        <v>4455</v>
      </c>
      <c r="C2286" t="s">
        <v>4456</v>
      </c>
    </row>
    <row r="2287" spans="1:3" x14ac:dyDescent="0.25">
      <c r="A2287" t="str">
        <f>"81757 "</f>
        <v xml:space="preserve">81757 </v>
      </c>
      <c r="B2287" t="s">
        <v>4457</v>
      </c>
      <c r="C2287" t="s">
        <v>4458</v>
      </c>
    </row>
    <row r="2288" spans="1:3" x14ac:dyDescent="0.25">
      <c r="A2288" t="str">
        <f>"81758 "</f>
        <v xml:space="preserve">81758 </v>
      </c>
      <c r="B2288" t="s">
        <v>4459</v>
      </c>
      <c r="C2288" t="s">
        <v>4460</v>
      </c>
    </row>
    <row r="2289" spans="1:3" x14ac:dyDescent="0.25">
      <c r="A2289" t="str">
        <f>"81759 "</f>
        <v xml:space="preserve">81759 </v>
      </c>
      <c r="B2289" t="s">
        <v>4461</v>
      </c>
      <c r="C2289" t="s">
        <v>4462</v>
      </c>
    </row>
    <row r="2290" spans="1:3" x14ac:dyDescent="0.25">
      <c r="A2290" t="str">
        <f>"764435"</f>
        <v>764435</v>
      </c>
      <c r="B2290" t="s">
        <v>4463</v>
      </c>
      <c r="C2290" t="s">
        <v>4464</v>
      </c>
    </row>
    <row r="2291" spans="1:3" x14ac:dyDescent="0.25">
      <c r="A2291" t="str">
        <f>"811833"</f>
        <v>811833</v>
      </c>
      <c r="B2291" t="s">
        <v>4465</v>
      </c>
      <c r="C2291" t="s">
        <v>4466</v>
      </c>
    </row>
    <row r="2292" spans="1:3" x14ac:dyDescent="0.25">
      <c r="A2292" t="str">
        <f>"763158"</f>
        <v>763158</v>
      </c>
      <c r="B2292" t="s">
        <v>4467</v>
      </c>
      <c r="C2292" t="s">
        <v>4468</v>
      </c>
    </row>
    <row r="2293" spans="1:3" x14ac:dyDescent="0.25">
      <c r="A2293" t="str">
        <f>"764428"</f>
        <v>764428</v>
      </c>
      <c r="B2293" t="s">
        <v>4469</v>
      </c>
      <c r="C2293" t="s">
        <v>4470</v>
      </c>
    </row>
    <row r="2294" spans="1:3" x14ac:dyDescent="0.25">
      <c r="A2294" t="str">
        <f>"763159"</f>
        <v>763159</v>
      </c>
      <c r="B2294" t="s">
        <v>4471</v>
      </c>
      <c r="C2294" t="s">
        <v>4472</v>
      </c>
    </row>
    <row r="2295" spans="1:3" x14ac:dyDescent="0.25">
      <c r="A2295" t="str">
        <f>"761260"</f>
        <v>761260</v>
      </c>
      <c r="B2295" t="s">
        <v>4473</v>
      </c>
      <c r="C2295" t="s">
        <v>4474</v>
      </c>
    </row>
    <row r="2296" spans="1:3" x14ac:dyDescent="0.25">
      <c r="A2296" t="str">
        <f>"762271"</f>
        <v>762271</v>
      </c>
      <c r="B2296" t="s">
        <v>4475</v>
      </c>
      <c r="C2296" t="s">
        <v>4476</v>
      </c>
    </row>
    <row r="2297" spans="1:3" x14ac:dyDescent="0.25">
      <c r="A2297" t="str">
        <f>"762272"</f>
        <v>762272</v>
      </c>
      <c r="B2297" t="s">
        <v>4477</v>
      </c>
      <c r="C2297" t="s">
        <v>4478</v>
      </c>
    </row>
    <row r="2298" spans="1:3" x14ac:dyDescent="0.25">
      <c r="A2298" t="str">
        <f>"764433"</f>
        <v>764433</v>
      </c>
      <c r="B2298" t="s">
        <v>4479</v>
      </c>
      <c r="C2298" t="s">
        <v>4480</v>
      </c>
    </row>
    <row r="2299" spans="1:3" x14ac:dyDescent="0.25">
      <c r="A2299" t="str">
        <f>"764436"</f>
        <v>764436</v>
      </c>
      <c r="B2299" t="s">
        <v>4481</v>
      </c>
      <c r="C2299" t="s">
        <v>4482</v>
      </c>
    </row>
    <row r="2300" spans="1:3" x14ac:dyDescent="0.25">
      <c r="A2300" t="str">
        <f>"764430"</f>
        <v>764430</v>
      </c>
      <c r="B2300" t="s">
        <v>4483</v>
      </c>
      <c r="C2300" t="s">
        <v>4484</v>
      </c>
    </row>
    <row r="2301" spans="1:3" x14ac:dyDescent="0.25">
      <c r="A2301" t="str">
        <f>"812113"</f>
        <v>812113</v>
      </c>
      <c r="B2301" t="s">
        <v>4485</v>
      </c>
      <c r="C2301" t="s">
        <v>4486</v>
      </c>
    </row>
    <row r="2302" spans="1:3" x14ac:dyDescent="0.25">
      <c r="A2302" t="str">
        <f>"81786 "</f>
        <v xml:space="preserve">81786 </v>
      </c>
      <c r="B2302" t="s">
        <v>4487</v>
      </c>
      <c r="C2302" t="s">
        <v>4488</v>
      </c>
    </row>
    <row r="2303" spans="1:3" x14ac:dyDescent="0.25">
      <c r="A2303" t="str">
        <f>"81841 "</f>
        <v xml:space="preserve">81841 </v>
      </c>
      <c r="B2303" t="s">
        <v>4489</v>
      </c>
      <c r="C2303" t="s">
        <v>4490</v>
      </c>
    </row>
    <row r="2304" spans="1:3" x14ac:dyDescent="0.25">
      <c r="A2304" t="str">
        <f>"81812 "</f>
        <v xml:space="preserve">81812 </v>
      </c>
      <c r="B2304" t="s">
        <v>4491</v>
      </c>
      <c r="C2304" t="s">
        <v>4492</v>
      </c>
    </row>
    <row r="2305" spans="1:3" x14ac:dyDescent="0.25">
      <c r="A2305" t="str">
        <f>"81842 "</f>
        <v xml:space="preserve">81842 </v>
      </c>
      <c r="B2305" t="s">
        <v>4493</v>
      </c>
      <c r="C2305" t="s">
        <v>4494</v>
      </c>
    </row>
    <row r="2306" spans="1:3" x14ac:dyDescent="0.25">
      <c r="A2306" t="str">
        <f>"81843 "</f>
        <v xml:space="preserve">81843 </v>
      </c>
      <c r="B2306" t="s">
        <v>4495</v>
      </c>
      <c r="C2306" t="s">
        <v>4496</v>
      </c>
    </row>
    <row r="2307" spans="1:3" x14ac:dyDescent="0.25">
      <c r="A2307" t="str">
        <f>"81811 "</f>
        <v xml:space="preserve">81811 </v>
      </c>
      <c r="B2307" t="s">
        <v>4497</v>
      </c>
      <c r="C2307" t="s">
        <v>4498</v>
      </c>
    </row>
    <row r="2308" spans="1:3" x14ac:dyDescent="0.25">
      <c r="A2308" t="str">
        <f>"81813 "</f>
        <v xml:space="preserve">81813 </v>
      </c>
      <c r="B2308" t="s">
        <v>4499</v>
      </c>
      <c r="C2308" t="s">
        <v>4500</v>
      </c>
    </row>
    <row r="2309" spans="1:3" x14ac:dyDescent="0.25">
      <c r="A2309" t="str">
        <f>"81814 "</f>
        <v xml:space="preserve">81814 </v>
      </c>
      <c r="B2309" t="s">
        <v>4501</v>
      </c>
      <c r="C2309" t="s">
        <v>4502</v>
      </c>
    </row>
    <row r="2310" spans="1:3" x14ac:dyDescent="0.25">
      <c r="A2310" t="str">
        <f>"763160"</f>
        <v>763160</v>
      </c>
      <c r="B2310" t="s">
        <v>4503</v>
      </c>
      <c r="C2310" t="s">
        <v>4504</v>
      </c>
    </row>
    <row r="2311" spans="1:3" x14ac:dyDescent="0.25">
      <c r="A2311" t="str">
        <f>"81787 "</f>
        <v xml:space="preserve">81787 </v>
      </c>
      <c r="B2311" t="s">
        <v>4505</v>
      </c>
      <c r="C2311" t="s">
        <v>4506</v>
      </c>
    </row>
    <row r="2312" spans="1:3" x14ac:dyDescent="0.25">
      <c r="A2312" t="str">
        <f>"761261"</f>
        <v>761261</v>
      </c>
      <c r="B2312" t="s">
        <v>4507</v>
      </c>
      <c r="C2312" t="s">
        <v>4508</v>
      </c>
    </row>
    <row r="2313" spans="1:3" x14ac:dyDescent="0.25">
      <c r="A2313" t="str">
        <f>"761263"</f>
        <v>761263</v>
      </c>
      <c r="B2313" t="s">
        <v>4509</v>
      </c>
      <c r="C2313" t="s">
        <v>4510</v>
      </c>
    </row>
    <row r="2314" spans="1:3" x14ac:dyDescent="0.25">
      <c r="A2314" t="str">
        <f>"764437"</f>
        <v>764437</v>
      </c>
      <c r="B2314" t="s">
        <v>4511</v>
      </c>
      <c r="C2314" t="s">
        <v>4512</v>
      </c>
    </row>
    <row r="2315" spans="1:3" x14ac:dyDescent="0.25">
      <c r="A2315" t="str">
        <f>"764438"</f>
        <v>764438</v>
      </c>
      <c r="B2315" t="s">
        <v>4513</v>
      </c>
      <c r="C2315" t="s">
        <v>4514</v>
      </c>
    </row>
    <row r="2316" spans="1:3" x14ac:dyDescent="0.25">
      <c r="A2316" t="str">
        <f>"764439"</f>
        <v>764439</v>
      </c>
      <c r="B2316" t="s">
        <v>4515</v>
      </c>
      <c r="C2316" t="s">
        <v>4516</v>
      </c>
    </row>
    <row r="2317" spans="1:3" x14ac:dyDescent="0.25">
      <c r="A2317" t="str">
        <f>"9999CG"</f>
        <v>9999CG</v>
      </c>
      <c r="B2317" t="s">
        <v>4517</v>
      </c>
      <c r="C2317" t="s">
        <v>4518</v>
      </c>
    </row>
    <row r="2318" spans="1:3" x14ac:dyDescent="0.25">
      <c r="A2318" t="str">
        <f>"764440"</f>
        <v>764440</v>
      </c>
      <c r="B2318" t="s">
        <v>4519</v>
      </c>
      <c r="C2318" t="s">
        <v>4520</v>
      </c>
    </row>
    <row r="2319" spans="1:3" x14ac:dyDescent="0.25">
      <c r="A2319" t="str">
        <f>"762273"</f>
        <v>762273</v>
      </c>
      <c r="B2319" t="s">
        <v>4521</v>
      </c>
      <c r="C2319" t="s">
        <v>4522</v>
      </c>
    </row>
    <row r="2320" spans="1:3" x14ac:dyDescent="0.25">
      <c r="A2320" t="str">
        <f>"810910"</f>
        <v>810910</v>
      </c>
      <c r="B2320" t="s">
        <v>4523</v>
      </c>
      <c r="C2320" t="s">
        <v>4524</v>
      </c>
    </row>
    <row r="2321" spans="1:3" x14ac:dyDescent="0.25">
      <c r="A2321" t="str">
        <f>"763166"</f>
        <v>763166</v>
      </c>
      <c r="B2321" t="s">
        <v>4525</v>
      </c>
      <c r="C2321" t="s">
        <v>4526</v>
      </c>
    </row>
    <row r="2322" spans="1:3" x14ac:dyDescent="0.25">
      <c r="A2322" t="str">
        <f>"01EE1 "</f>
        <v xml:space="preserve">01EE1 </v>
      </c>
      <c r="B2322" t="s">
        <v>4527</v>
      </c>
      <c r="C2322" t="s">
        <v>4528</v>
      </c>
    </row>
    <row r="2323" spans="1:3" x14ac:dyDescent="0.25">
      <c r="A2323" t="str">
        <f>"81485 "</f>
        <v xml:space="preserve">81485 </v>
      </c>
      <c r="B2323" t="s">
        <v>4529</v>
      </c>
      <c r="C2323" t="s">
        <v>4530</v>
      </c>
    </row>
    <row r="2324" spans="1:3" x14ac:dyDescent="0.25">
      <c r="A2324" t="str">
        <f>"762276"</f>
        <v>762276</v>
      </c>
      <c r="B2324" t="s">
        <v>4531</v>
      </c>
      <c r="C2324" t="s">
        <v>4532</v>
      </c>
    </row>
    <row r="2325" spans="1:3" x14ac:dyDescent="0.25">
      <c r="A2325" t="str">
        <f>"MAACBO"</f>
        <v>MAACBO</v>
      </c>
      <c r="B2325" t="s">
        <v>4533</v>
      </c>
      <c r="C2325" t="s">
        <v>4534</v>
      </c>
    </row>
    <row r="2326" spans="1:3" x14ac:dyDescent="0.25">
      <c r="A2326" t="str">
        <f>"01EA1 "</f>
        <v xml:space="preserve">01EA1 </v>
      </c>
      <c r="B2326" t="s">
        <v>4535</v>
      </c>
      <c r="C2326" t="s">
        <v>4536</v>
      </c>
    </row>
    <row r="2327" spans="1:3" x14ac:dyDescent="0.25">
      <c r="A2327" t="str">
        <f>"761267"</f>
        <v>761267</v>
      </c>
      <c r="B2327" t="s">
        <v>4537</v>
      </c>
      <c r="C2327" t="s">
        <v>4538</v>
      </c>
    </row>
    <row r="2328" spans="1:3" x14ac:dyDescent="0.25">
      <c r="A2328" t="str">
        <f>"764446"</f>
        <v>764446</v>
      </c>
      <c r="B2328" t="s">
        <v>4539</v>
      </c>
      <c r="C2328" t="s">
        <v>4540</v>
      </c>
    </row>
    <row r="2329" spans="1:3" x14ac:dyDescent="0.25">
      <c r="A2329" t="str">
        <f>"763164"</f>
        <v>763164</v>
      </c>
      <c r="B2329" t="s">
        <v>4541</v>
      </c>
      <c r="C2329" t="s">
        <v>4542</v>
      </c>
    </row>
    <row r="2330" spans="1:3" x14ac:dyDescent="0.25">
      <c r="A2330" t="str">
        <f>"01EA2 "</f>
        <v xml:space="preserve">01EA2 </v>
      </c>
      <c r="B2330" t="s">
        <v>4543</v>
      </c>
      <c r="C2330" t="s">
        <v>4544</v>
      </c>
    </row>
    <row r="2331" spans="1:3" x14ac:dyDescent="0.25">
      <c r="A2331" t="str">
        <f>"01EEP "</f>
        <v xml:space="preserve">01EEP </v>
      </c>
      <c r="B2331" t="s">
        <v>4545</v>
      </c>
      <c r="C2331" t="s">
        <v>4546</v>
      </c>
    </row>
    <row r="2332" spans="1:3" x14ac:dyDescent="0.25">
      <c r="A2332" t="str">
        <f>"81821 "</f>
        <v xml:space="preserve">81821 </v>
      </c>
      <c r="B2332" t="s">
        <v>4547</v>
      </c>
      <c r="C2332" t="s">
        <v>4548</v>
      </c>
    </row>
    <row r="2333" spans="1:3" x14ac:dyDescent="0.25">
      <c r="A2333" t="str">
        <f>"81871 "</f>
        <v xml:space="preserve">81871 </v>
      </c>
      <c r="B2333" t="s">
        <v>4549</v>
      </c>
      <c r="C2333" t="s">
        <v>4550</v>
      </c>
    </row>
    <row r="2334" spans="1:3" x14ac:dyDescent="0.25">
      <c r="A2334" t="str">
        <f>"88036 "</f>
        <v xml:space="preserve">88036 </v>
      </c>
      <c r="B2334" t="s">
        <v>4551</v>
      </c>
      <c r="C2334" t="s">
        <v>4552</v>
      </c>
    </row>
    <row r="2335" spans="1:3" x14ac:dyDescent="0.25">
      <c r="A2335" t="str">
        <f>"81872 "</f>
        <v xml:space="preserve">81872 </v>
      </c>
      <c r="B2335" t="s">
        <v>4553</v>
      </c>
      <c r="C2335" t="s">
        <v>4554</v>
      </c>
    </row>
    <row r="2336" spans="1:3" x14ac:dyDescent="0.25">
      <c r="A2336" t="str">
        <f>"815315"</f>
        <v>815315</v>
      </c>
      <c r="B2336" t="s">
        <v>4555</v>
      </c>
      <c r="C2336" t="s">
        <v>4556</v>
      </c>
    </row>
    <row r="2337" spans="1:3" x14ac:dyDescent="0.25">
      <c r="A2337" t="str">
        <f>"815316"</f>
        <v>815316</v>
      </c>
      <c r="B2337" t="s">
        <v>4557</v>
      </c>
      <c r="C2337" t="s">
        <v>4558</v>
      </c>
    </row>
    <row r="2338" spans="1:3" x14ac:dyDescent="0.25">
      <c r="A2338" t="str">
        <f>"81797 "</f>
        <v xml:space="preserve">81797 </v>
      </c>
      <c r="B2338" t="s">
        <v>4559</v>
      </c>
      <c r="C2338" t="s">
        <v>4560</v>
      </c>
    </row>
    <row r="2339" spans="1:3" x14ac:dyDescent="0.25">
      <c r="A2339" t="str">
        <f>"768005"</f>
        <v>768005</v>
      </c>
      <c r="B2339" t="s">
        <v>4561</v>
      </c>
      <c r="C2339" t="s">
        <v>4562</v>
      </c>
    </row>
    <row r="2340" spans="1:3" x14ac:dyDescent="0.25">
      <c r="A2340" t="str">
        <f>"811835"</f>
        <v>811835</v>
      </c>
      <c r="B2340" t="s">
        <v>4563</v>
      </c>
      <c r="C2340" t="s">
        <v>4564</v>
      </c>
    </row>
    <row r="2341" spans="1:3" x14ac:dyDescent="0.25">
      <c r="A2341" t="str">
        <f>"811834"</f>
        <v>811834</v>
      </c>
      <c r="B2341" t="s">
        <v>4565</v>
      </c>
      <c r="C2341" t="s">
        <v>4566</v>
      </c>
    </row>
    <row r="2342" spans="1:3" x14ac:dyDescent="0.25">
      <c r="A2342" t="str">
        <f>"762274"</f>
        <v>762274</v>
      </c>
      <c r="B2342" t="s">
        <v>4567</v>
      </c>
      <c r="C2342" t="s">
        <v>4568</v>
      </c>
    </row>
    <row r="2343" spans="1:3" x14ac:dyDescent="0.25">
      <c r="A2343" t="str">
        <f>"817510"</f>
        <v>817510</v>
      </c>
      <c r="B2343" t="s">
        <v>4569</v>
      </c>
      <c r="C2343" t="s">
        <v>4570</v>
      </c>
    </row>
    <row r="2344" spans="1:3" x14ac:dyDescent="0.25">
      <c r="A2344" t="str">
        <f>"81403 "</f>
        <v xml:space="preserve">81403 </v>
      </c>
      <c r="B2344" t="s">
        <v>4571</v>
      </c>
      <c r="C2344" t="s">
        <v>4572</v>
      </c>
    </row>
    <row r="2345" spans="1:3" x14ac:dyDescent="0.25">
      <c r="A2345" t="str">
        <f>"81393 "</f>
        <v xml:space="preserve">81393 </v>
      </c>
      <c r="B2345" t="s">
        <v>4573</v>
      </c>
      <c r="C2345" t="s">
        <v>4574</v>
      </c>
    </row>
    <row r="2346" spans="1:3" x14ac:dyDescent="0.25">
      <c r="A2346" t="str">
        <f>"767078"</f>
        <v>767078</v>
      </c>
      <c r="B2346" t="s">
        <v>4575</v>
      </c>
      <c r="C2346" t="s">
        <v>4576</v>
      </c>
    </row>
    <row r="2347" spans="1:3" x14ac:dyDescent="0.25">
      <c r="A2347" t="str">
        <f>"764441"</f>
        <v>764441</v>
      </c>
      <c r="B2347" t="s">
        <v>4577</v>
      </c>
      <c r="C2347" t="s">
        <v>4578</v>
      </c>
    </row>
    <row r="2348" spans="1:3" x14ac:dyDescent="0.25">
      <c r="A2348" t="str">
        <f>"764442"</f>
        <v>764442</v>
      </c>
      <c r="B2348" t="s">
        <v>4579</v>
      </c>
      <c r="C2348" t="s">
        <v>4580</v>
      </c>
    </row>
    <row r="2349" spans="1:3" x14ac:dyDescent="0.25">
      <c r="A2349" t="str">
        <f>"764443"</f>
        <v>764443</v>
      </c>
      <c r="B2349" t="s">
        <v>4581</v>
      </c>
      <c r="C2349" t="s">
        <v>4582</v>
      </c>
    </row>
    <row r="2350" spans="1:3" x14ac:dyDescent="0.25">
      <c r="A2350" t="str">
        <f>"761265"</f>
        <v>761265</v>
      </c>
      <c r="B2350" t="s">
        <v>4583</v>
      </c>
      <c r="C2350" t="s">
        <v>4584</v>
      </c>
    </row>
    <row r="2351" spans="1:3" x14ac:dyDescent="0.25">
      <c r="A2351" t="str">
        <f>"762275"</f>
        <v>762275</v>
      </c>
      <c r="B2351" t="s">
        <v>4585</v>
      </c>
      <c r="C2351" t="s">
        <v>4586</v>
      </c>
    </row>
    <row r="2352" spans="1:3" x14ac:dyDescent="0.25">
      <c r="A2352" t="str">
        <f>"01EA3 "</f>
        <v xml:space="preserve">01EA3 </v>
      </c>
      <c r="B2352" t="s">
        <v>4587</v>
      </c>
      <c r="C2352" t="s">
        <v>4588</v>
      </c>
    </row>
    <row r="2353" spans="1:3" x14ac:dyDescent="0.25">
      <c r="A2353" t="str">
        <f>"762277"</f>
        <v>762277</v>
      </c>
      <c r="B2353" t="s">
        <v>4589</v>
      </c>
      <c r="C2353" t="s">
        <v>4590</v>
      </c>
    </row>
    <row r="2354" spans="1:3" x14ac:dyDescent="0.25">
      <c r="A2354" t="str">
        <f>"768006"</f>
        <v>768006</v>
      </c>
      <c r="B2354" t="s">
        <v>4591</v>
      </c>
      <c r="C2354" t="s">
        <v>4592</v>
      </c>
    </row>
    <row r="2355" spans="1:3" x14ac:dyDescent="0.25">
      <c r="A2355" t="str">
        <f>"81788 "</f>
        <v xml:space="preserve">81788 </v>
      </c>
      <c r="B2355" t="s">
        <v>4593</v>
      </c>
      <c r="C2355" t="s">
        <v>4594</v>
      </c>
    </row>
    <row r="2356" spans="1:3" x14ac:dyDescent="0.25">
      <c r="A2356" t="str">
        <f>"01EF1 "</f>
        <v xml:space="preserve">01EF1 </v>
      </c>
      <c r="B2356" t="s">
        <v>4595</v>
      </c>
      <c r="C2356" t="s">
        <v>4596</v>
      </c>
    </row>
    <row r="2357" spans="1:3" x14ac:dyDescent="0.25">
      <c r="A2357" t="str">
        <f>"764444"</f>
        <v>764444</v>
      </c>
      <c r="B2357" t="s">
        <v>4597</v>
      </c>
      <c r="C2357" t="s">
        <v>4598</v>
      </c>
    </row>
    <row r="2358" spans="1:3" x14ac:dyDescent="0.25">
      <c r="A2358" t="str">
        <f>"764445"</f>
        <v>764445</v>
      </c>
      <c r="B2358" t="s">
        <v>4599</v>
      </c>
      <c r="C2358" t="s">
        <v>4600</v>
      </c>
    </row>
    <row r="2359" spans="1:3" x14ac:dyDescent="0.25">
      <c r="A2359" t="str">
        <f>"763162"</f>
        <v>763162</v>
      </c>
      <c r="B2359" t="s">
        <v>4601</v>
      </c>
      <c r="C2359" t="s">
        <v>4602</v>
      </c>
    </row>
    <row r="2360" spans="1:3" x14ac:dyDescent="0.25">
      <c r="A2360" t="str">
        <f>"763163"</f>
        <v>763163</v>
      </c>
      <c r="B2360" t="s">
        <v>4603</v>
      </c>
      <c r="C2360" t="s">
        <v>4604</v>
      </c>
    </row>
    <row r="2361" spans="1:3" x14ac:dyDescent="0.25">
      <c r="A2361" t="str">
        <f>"81873 "</f>
        <v xml:space="preserve">81873 </v>
      </c>
      <c r="B2361" t="s">
        <v>4605</v>
      </c>
      <c r="C2361" t="s">
        <v>4606</v>
      </c>
    </row>
    <row r="2362" spans="1:3" x14ac:dyDescent="0.25">
      <c r="A2362" t="str">
        <f>"81492 "</f>
        <v xml:space="preserve">81492 </v>
      </c>
      <c r="B2362" t="s">
        <v>4607</v>
      </c>
      <c r="C2362" t="s">
        <v>4608</v>
      </c>
    </row>
    <row r="2363" spans="1:3" x14ac:dyDescent="0.25">
      <c r="A2363" t="str">
        <f>"01EB1 "</f>
        <v xml:space="preserve">01EB1 </v>
      </c>
      <c r="B2363" t="s">
        <v>4609</v>
      </c>
      <c r="C2363" t="s">
        <v>4610</v>
      </c>
    </row>
    <row r="2364" spans="1:3" x14ac:dyDescent="0.25">
      <c r="A2364" t="str">
        <f>"761266"</f>
        <v>761266</v>
      </c>
      <c r="B2364" t="s">
        <v>4611</v>
      </c>
      <c r="C2364" t="s">
        <v>4612</v>
      </c>
    </row>
    <row r="2365" spans="1:3" x14ac:dyDescent="0.25">
      <c r="A2365" t="str">
        <f>"01EF2 "</f>
        <v xml:space="preserve">01EF2 </v>
      </c>
      <c r="B2365" t="s">
        <v>4613</v>
      </c>
      <c r="C2365" t="s">
        <v>4614</v>
      </c>
    </row>
    <row r="2366" spans="1:3" x14ac:dyDescent="0.25">
      <c r="A2366" t="str">
        <f>"01EG1 "</f>
        <v xml:space="preserve">01EG1 </v>
      </c>
      <c r="B2366" t="s">
        <v>4615</v>
      </c>
      <c r="C2366" t="s">
        <v>4616</v>
      </c>
    </row>
    <row r="2367" spans="1:3" x14ac:dyDescent="0.25">
      <c r="A2367" t="str">
        <f>"01EG2 "</f>
        <v xml:space="preserve">01EG2 </v>
      </c>
      <c r="B2367" t="s">
        <v>4617</v>
      </c>
      <c r="C2367" t="s">
        <v>4618</v>
      </c>
    </row>
    <row r="2368" spans="1:3" x14ac:dyDescent="0.25">
      <c r="A2368" t="str">
        <f>"01EH1 "</f>
        <v xml:space="preserve">01EH1 </v>
      </c>
      <c r="B2368" t="s">
        <v>4619</v>
      </c>
      <c r="C2368" t="s">
        <v>4620</v>
      </c>
    </row>
    <row r="2369" spans="1:3" x14ac:dyDescent="0.25">
      <c r="A2369" t="str">
        <f>"761268"</f>
        <v>761268</v>
      </c>
      <c r="B2369" t="s">
        <v>4621</v>
      </c>
      <c r="C2369" t="s">
        <v>4622</v>
      </c>
    </row>
    <row r="2370" spans="1:3" x14ac:dyDescent="0.25">
      <c r="A2370" t="str">
        <f>"01EL1 "</f>
        <v xml:space="preserve">01EL1 </v>
      </c>
      <c r="B2370" t="s">
        <v>4623</v>
      </c>
      <c r="C2370" t="s">
        <v>4624</v>
      </c>
    </row>
    <row r="2371" spans="1:3" x14ac:dyDescent="0.25">
      <c r="A2371" t="str">
        <f>"761269"</f>
        <v>761269</v>
      </c>
      <c r="B2371" t="s">
        <v>4625</v>
      </c>
      <c r="C2371" t="s">
        <v>4626</v>
      </c>
    </row>
    <row r="2372" spans="1:3" x14ac:dyDescent="0.25">
      <c r="A2372" t="str">
        <f>"763167"</f>
        <v>763167</v>
      </c>
      <c r="B2372" t="s">
        <v>4627</v>
      </c>
      <c r="C2372" t="s">
        <v>4628</v>
      </c>
    </row>
    <row r="2373" spans="1:3" x14ac:dyDescent="0.25">
      <c r="A2373" t="str">
        <f>"764450"</f>
        <v>764450</v>
      </c>
      <c r="B2373" t="s">
        <v>4629</v>
      </c>
      <c r="C2373" t="s">
        <v>4630</v>
      </c>
    </row>
    <row r="2374" spans="1:3" x14ac:dyDescent="0.25">
      <c r="A2374" t="str">
        <f>"764451"</f>
        <v>764451</v>
      </c>
      <c r="B2374" t="s">
        <v>4631</v>
      </c>
      <c r="C2374" t="s">
        <v>4632</v>
      </c>
    </row>
    <row r="2375" spans="1:3" x14ac:dyDescent="0.25">
      <c r="A2375" t="str">
        <f>"764452"</f>
        <v>764452</v>
      </c>
      <c r="B2375" t="s">
        <v>4633</v>
      </c>
      <c r="C2375" t="s">
        <v>4634</v>
      </c>
    </row>
    <row r="2376" spans="1:3" x14ac:dyDescent="0.25">
      <c r="A2376" t="str">
        <f>"764453"</f>
        <v>764453</v>
      </c>
      <c r="B2376" t="s">
        <v>4635</v>
      </c>
      <c r="C2376" t="s">
        <v>4636</v>
      </c>
    </row>
    <row r="2377" spans="1:3" x14ac:dyDescent="0.25">
      <c r="A2377" t="str">
        <f>"765023"</f>
        <v>765023</v>
      </c>
      <c r="B2377" t="s">
        <v>4637</v>
      </c>
      <c r="C2377" t="s">
        <v>4638</v>
      </c>
    </row>
    <row r="2378" spans="1:3" x14ac:dyDescent="0.25">
      <c r="A2378" t="str">
        <f>"01EJ1 "</f>
        <v xml:space="preserve">01EJ1 </v>
      </c>
      <c r="B2378" t="s">
        <v>4639</v>
      </c>
      <c r="C2378" t="s">
        <v>4640</v>
      </c>
    </row>
    <row r="2379" spans="1:3" x14ac:dyDescent="0.25">
      <c r="A2379" t="str">
        <f>"01EF3 "</f>
        <v xml:space="preserve">01EF3 </v>
      </c>
      <c r="B2379" t="s">
        <v>4641</v>
      </c>
      <c r="C2379" t="s">
        <v>4642</v>
      </c>
    </row>
    <row r="2380" spans="1:3" x14ac:dyDescent="0.25">
      <c r="A2380" t="str">
        <f>"01EK1 "</f>
        <v xml:space="preserve">01EK1 </v>
      </c>
      <c r="B2380" t="s">
        <v>4643</v>
      </c>
      <c r="C2380" t="s">
        <v>4644</v>
      </c>
    </row>
    <row r="2381" spans="1:3" x14ac:dyDescent="0.25">
      <c r="A2381" t="str">
        <f>"01EI1 "</f>
        <v xml:space="preserve">01EI1 </v>
      </c>
      <c r="B2381" t="s">
        <v>4645</v>
      </c>
      <c r="C2381" t="s">
        <v>4646</v>
      </c>
    </row>
    <row r="2382" spans="1:3" x14ac:dyDescent="0.25">
      <c r="A2382" t="str">
        <f>"764454"</f>
        <v>764454</v>
      </c>
      <c r="B2382" t="s">
        <v>4647</v>
      </c>
      <c r="C2382" t="s">
        <v>4648</v>
      </c>
    </row>
    <row r="2383" spans="1:3" x14ac:dyDescent="0.25">
      <c r="A2383" t="str">
        <f>"764455"</f>
        <v>764455</v>
      </c>
      <c r="B2383" t="s">
        <v>4649</v>
      </c>
      <c r="C2383" t="s">
        <v>4650</v>
      </c>
    </row>
    <row r="2384" spans="1:3" x14ac:dyDescent="0.25">
      <c r="A2384" t="str">
        <f>"764456"</f>
        <v>764456</v>
      </c>
      <c r="B2384" t="s">
        <v>4651</v>
      </c>
      <c r="C2384" t="s">
        <v>4652</v>
      </c>
    </row>
    <row r="2385" spans="1:3" x14ac:dyDescent="0.25">
      <c r="A2385" t="str">
        <f>"764457"</f>
        <v>764457</v>
      </c>
      <c r="B2385" t="s">
        <v>4653</v>
      </c>
      <c r="C2385" t="s">
        <v>4654</v>
      </c>
    </row>
    <row r="2386" spans="1:3" x14ac:dyDescent="0.25">
      <c r="A2386" t="str">
        <f>"763168"</f>
        <v>763168</v>
      </c>
      <c r="B2386" t="s">
        <v>4655</v>
      </c>
      <c r="C2386" t="s">
        <v>4656</v>
      </c>
    </row>
    <row r="2387" spans="1:3" x14ac:dyDescent="0.25">
      <c r="A2387" t="str">
        <f>"71104 "</f>
        <v xml:space="preserve">71104 </v>
      </c>
      <c r="B2387" t="s">
        <v>4657</v>
      </c>
      <c r="C2387" t="s">
        <v>4658</v>
      </c>
    </row>
    <row r="2388" spans="1:3" x14ac:dyDescent="0.25">
      <c r="A2388" t="str">
        <f>"01EM1 "</f>
        <v xml:space="preserve">01EM1 </v>
      </c>
      <c r="B2388" t="s">
        <v>4659</v>
      </c>
      <c r="C2388" t="s">
        <v>4660</v>
      </c>
    </row>
    <row r="2389" spans="1:3" x14ac:dyDescent="0.25">
      <c r="A2389" t="str">
        <f>"01EMP "</f>
        <v xml:space="preserve">01EMP </v>
      </c>
      <c r="B2389" t="s">
        <v>4661</v>
      </c>
      <c r="C2389" t="s">
        <v>4662</v>
      </c>
    </row>
    <row r="2390" spans="1:3" x14ac:dyDescent="0.25">
      <c r="A2390" t="str">
        <f>"01EGP "</f>
        <v xml:space="preserve">01EGP </v>
      </c>
      <c r="B2390" t="s">
        <v>4663</v>
      </c>
      <c r="C2390" t="s">
        <v>4664</v>
      </c>
    </row>
    <row r="2391" spans="1:3" x14ac:dyDescent="0.25">
      <c r="A2391" t="str">
        <f>"01EN1 "</f>
        <v xml:space="preserve">01EN1 </v>
      </c>
      <c r="B2391" t="s">
        <v>4665</v>
      </c>
      <c r="C2391" t="s">
        <v>4666</v>
      </c>
    </row>
    <row r="2392" spans="1:3" x14ac:dyDescent="0.25">
      <c r="A2392" t="str">
        <f>"88041 "</f>
        <v xml:space="preserve">88041 </v>
      </c>
      <c r="B2392" t="s">
        <v>4667</v>
      </c>
      <c r="C2392" t="s">
        <v>4668</v>
      </c>
    </row>
    <row r="2393" spans="1:3" x14ac:dyDescent="0.25">
      <c r="A2393" t="str">
        <f>"88051 "</f>
        <v xml:space="preserve">88051 </v>
      </c>
      <c r="B2393" t="s">
        <v>4669</v>
      </c>
      <c r="C2393" t="s">
        <v>4670</v>
      </c>
    </row>
    <row r="2394" spans="1:3" x14ac:dyDescent="0.25">
      <c r="A2394" t="str">
        <f>"764458"</f>
        <v>764458</v>
      </c>
      <c r="B2394" t="s">
        <v>4671</v>
      </c>
      <c r="C2394" t="s">
        <v>4672</v>
      </c>
    </row>
    <row r="2395" spans="1:3" x14ac:dyDescent="0.25">
      <c r="A2395" t="str">
        <f>"81143 "</f>
        <v xml:space="preserve">81143 </v>
      </c>
      <c r="B2395" t="s">
        <v>4673</v>
      </c>
      <c r="C2395" t="s">
        <v>4674</v>
      </c>
    </row>
    <row r="2396" spans="1:3" x14ac:dyDescent="0.25">
      <c r="A2396" t="str">
        <f>"819514"</f>
        <v>819514</v>
      </c>
      <c r="B2396" t="s">
        <v>4675</v>
      </c>
      <c r="C2396" t="s">
        <v>4676</v>
      </c>
    </row>
    <row r="2397" spans="1:3" x14ac:dyDescent="0.25">
      <c r="A2397" t="str">
        <f>"819515"</f>
        <v>819515</v>
      </c>
      <c r="B2397" t="s">
        <v>4677</v>
      </c>
      <c r="C2397" t="s">
        <v>4678</v>
      </c>
    </row>
    <row r="2398" spans="1:3" x14ac:dyDescent="0.25">
      <c r="A2398" t="str">
        <f>"88036P"</f>
        <v>88036P</v>
      </c>
      <c r="B2398" t="s">
        <v>4679</v>
      </c>
      <c r="C2398" t="s">
        <v>4680</v>
      </c>
    </row>
    <row r="2399" spans="1:3" x14ac:dyDescent="0.25">
      <c r="A2399" t="str">
        <f>"01EQ1 "</f>
        <v xml:space="preserve">01EQ1 </v>
      </c>
      <c r="B2399" t="s">
        <v>4681</v>
      </c>
      <c r="C2399" t="s">
        <v>4682</v>
      </c>
    </row>
    <row r="2400" spans="1:3" x14ac:dyDescent="0.25">
      <c r="A2400" t="str">
        <f>"01EQ2 "</f>
        <v xml:space="preserve">01EQ2 </v>
      </c>
      <c r="B2400" t="s">
        <v>4683</v>
      </c>
      <c r="C2400" t="s">
        <v>4684</v>
      </c>
    </row>
    <row r="2401" spans="1:3" x14ac:dyDescent="0.25">
      <c r="A2401" t="str">
        <f>"761270"</f>
        <v>761270</v>
      </c>
      <c r="B2401" t="s">
        <v>4685</v>
      </c>
      <c r="C2401" t="s">
        <v>4686</v>
      </c>
    </row>
    <row r="2402" spans="1:3" x14ac:dyDescent="0.25">
      <c r="A2402" t="str">
        <f>"764466"</f>
        <v>764466</v>
      </c>
      <c r="B2402" t="s">
        <v>4687</v>
      </c>
      <c r="C2402" t="s">
        <v>4688</v>
      </c>
    </row>
    <row r="2403" spans="1:3" x14ac:dyDescent="0.25">
      <c r="A2403" t="str">
        <f>"761271"</f>
        <v>761271</v>
      </c>
      <c r="B2403" t="s">
        <v>4689</v>
      </c>
      <c r="C2403" t="s">
        <v>4690</v>
      </c>
    </row>
    <row r="2404" spans="1:3" x14ac:dyDescent="0.25">
      <c r="A2404" t="str">
        <f>"763169"</f>
        <v>763169</v>
      </c>
      <c r="B2404" t="s">
        <v>4691</v>
      </c>
      <c r="C2404" t="s">
        <v>4692</v>
      </c>
    </row>
    <row r="2405" spans="1:3" x14ac:dyDescent="0.25">
      <c r="A2405" t="str">
        <f>"762279"</f>
        <v>762279</v>
      </c>
      <c r="B2405" t="s">
        <v>4693</v>
      </c>
      <c r="C2405" t="s">
        <v>4694</v>
      </c>
    </row>
    <row r="2406" spans="1:3" x14ac:dyDescent="0.25">
      <c r="A2406" t="str">
        <f>"764488"</f>
        <v>764488</v>
      </c>
      <c r="B2406" t="s">
        <v>4695</v>
      </c>
      <c r="C2406" t="s">
        <v>4696</v>
      </c>
    </row>
    <row r="2407" spans="1:3" x14ac:dyDescent="0.25">
      <c r="A2407" t="str">
        <f>"764459"</f>
        <v>764459</v>
      </c>
      <c r="B2407" t="s">
        <v>4697</v>
      </c>
      <c r="C2407" t="s">
        <v>4698</v>
      </c>
    </row>
    <row r="2408" spans="1:3" x14ac:dyDescent="0.25">
      <c r="A2408" t="str">
        <f>"764461"</f>
        <v>764461</v>
      </c>
      <c r="B2408" t="s">
        <v>4699</v>
      </c>
      <c r="C2408" t="s">
        <v>4700</v>
      </c>
    </row>
    <row r="2409" spans="1:3" x14ac:dyDescent="0.25">
      <c r="A2409" t="str">
        <f>"764460"</f>
        <v>764460</v>
      </c>
      <c r="B2409" t="s">
        <v>4701</v>
      </c>
      <c r="C2409" t="s">
        <v>4702</v>
      </c>
    </row>
    <row r="2410" spans="1:3" x14ac:dyDescent="0.25">
      <c r="A2410" t="str">
        <f>"764465"</f>
        <v>764465</v>
      </c>
      <c r="B2410" t="s">
        <v>4703</v>
      </c>
      <c r="C2410" t="s">
        <v>4704</v>
      </c>
    </row>
    <row r="2411" spans="1:3" x14ac:dyDescent="0.25">
      <c r="A2411" t="str">
        <f>"764463"</f>
        <v>764463</v>
      </c>
      <c r="B2411" t="s">
        <v>4705</v>
      </c>
      <c r="C2411" t="s">
        <v>4706</v>
      </c>
    </row>
    <row r="2412" spans="1:3" x14ac:dyDescent="0.25">
      <c r="A2412" t="str">
        <f>"764467"</f>
        <v>764467</v>
      </c>
      <c r="B2412" t="s">
        <v>4707</v>
      </c>
      <c r="C2412" t="s">
        <v>4708</v>
      </c>
    </row>
    <row r="2413" spans="1:3" x14ac:dyDescent="0.25">
      <c r="A2413" t="str">
        <f>"764468"</f>
        <v>764468</v>
      </c>
      <c r="B2413" t="s">
        <v>4709</v>
      </c>
      <c r="C2413" t="s">
        <v>4710</v>
      </c>
    </row>
    <row r="2414" spans="1:3" x14ac:dyDescent="0.25">
      <c r="A2414" t="str">
        <f>"01EX1 "</f>
        <v xml:space="preserve">01EX1 </v>
      </c>
      <c r="B2414" t="s">
        <v>4711</v>
      </c>
      <c r="C2414" t="s">
        <v>4712</v>
      </c>
    </row>
    <row r="2415" spans="1:3" x14ac:dyDescent="0.25">
      <c r="A2415" t="str">
        <f>"764483"</f>
        <v>764483</v>
      </c>
      <c r="B2415" t="s">
        <v>4713</v>
      </c>
      <c r="C2415" t="s">
        <v>4714</v>
      </c>
    </row>
    <row r="2416" spans="1:3" x14ac:dyDescent="0.25">
      <c r="A2416" t="str">
        <f>"81844 "</f>
        <v xml:space="preserve">81844 </v>
      </c>
      <c r="B2416" t="s">
        <v>4715</v>
      </c>
      <c r="C2416" t="s">
        <v>4716</v>
      </c>
    </row>
    <row r="2417" spans="1:3" x14ac:dyDescent="0.25">
      <c r="A2417" t="str">
        <f>"01E72 "</f>
        <v xml:space="preserve">01E72 </v>
      </c>
      <c r="B2417" t="s">
        <v>4717</v>
      </c>
      <c r="C2417" t="s">
        <v>4718</v>
      </c>
    </row>
    <row r="2418" spans="1:3" x14ac:dyDescent="0.25">
      <c r="A2418" t="str">
        <f>"81845 "</f>
        <v xml:space="preserve">81845 </v>
      </c>
      <c r="B2418" t="s">
        <v>4719</v>
      </c>
      <c r="C2418" t="s">
        <v>4720</v>
      </c>
    </row>
    <row r="2419" spans="1:3" x14ac:dyDescent="0.25">
      <c r="A2419" t="str">
        <f>"761275"</f>
        <v>761275</v>
      </c>
      <c r="B2419" t="s">
        <v>4721</v>
      </c>
      <c r="C2419" t="s">
        <v>4722</v>
      </c>
    </row>
    <row r="2420" spans="1:3" x14ac:dyDescent="0.25">
      <c r="A2420" t="str">
        <f>"88037 "</f>
        <v xml:space="preserve">88037 </v>
      </c>
      <c r="B2420" t="s">
        <v>4723</v>
      </c>
      <c r="C2420" t="s">
        <v>4724</v>
      </c>
    </row>
    <row r="2421" spans="1:3" x14ac:dyDescent="0.25">
      <c r="A2421" t="str">
        <f>"764462"</f>
        <v>764462</v>
      </c>
      <c r="B2421" t="s">
        <v>4725</v>
      </c>
      <c r="C2421" t="s">
        <v>4726</v>
      </c>
    </row>
    <row r="2422" spans="1:3" x14ac:dyDescent="0.25">
      <c r="A2422" t="str">
        <f>"81486P"</f>
        <v>81486P</v>
      </c>
      <c r="B2422" t="s">
        <v>4727</v>
      </c>
      <c r="C2422" t="s">
        <v>4728</v>
      </c>
    </row>
    <row r="2423" spans="1:3" x14ac:dyDescent="0.25">
      <c r="A2423" t="str">
        <f>"81486 "</f>
        <v xml:space="preserve">81486 </v>
      </c>
      <c r="B2423" t="s">
        <v>4729</v>
      </c>
      <c r="C2423" t="s">
        <v>4730</v>
      </c>
    </row>
    <row r="2424" spans="1:3" x14ac:dyDescent="0.25">
      <c r="A2424" t="str">
        <f>"761272"</f>
        <v>761272</v>
      </c>
      <c r="B2424" t="s">
        <v>4731</v>
      </c>
      <c r="C2424" t="s">
        <v>4732</v>
      </c>
    </row>
    <row r="2425" spans="1:3" x14ac:dyDescent="0.25">
      <c r="A2425" t="str">
        <f>"763170"</f>
        <v>763170</v>
      </c>
      <c r="B2425" t="s">
        <v>4733</v>
      </c>
      <c r="C2425" t="s">
        <v>4734</v>
      </c>
    </row>
    <row r="2426" spans="1:3" x14ac:dyDescent="0.25">
      <c r="A2426" t="str">
        <f>"764478"</f>
        <v>764478</v>
      </c>
      <c r="B2426" t="s">
        <v>4735</v>
      </c>
      <c r="C2426" t="s">
        <v>4736</v>
      </c>
    </row>
    <row r="2427" spans="1:3" x14ac:dyDescent="0.25">
      <c r="A2427" t="str">
        <f>"764464"</f>
        <v>764464</v>
      </c>
      <c r="B2427" t="s">
        <v>4737</v>
      </c>
      <c r="C2427" t="s">
        <v>4738</v>
      </c>
    </row>
    <row r="2428" spans="1:3" x14ac:dyDescent="0.25">
      <c r="A2428" t="str">
        <f>"81953P"</f>
        <v>81953P</v>
      </c>
      <c r="B2428" t="s">
        <v>4739</v>
      </c>
      <c r="C2428" t="s">
        <v>4740</v>
      </c>
    </row>
    <row r="2429" spans="1:3" x14ac:dyDescent="0.25">
      <c r="A2429" t="str">
        <f>"761273"</f>
        <v>761273</v>
      </c>
      <c r="B2429" t="s">
        <v>4741</v>
      </c>
      <c r="C2429" t="s">
        <v>4742</v>
      </c>
    </row>
    <row r="2430" spans="1:3" x14ac:dyDescent="0.25">
      <c r="A2430" t="str">
        <f>"811837"</f>
        <v>811837</v>
      </c>
      <c r="B2430" t="s">
        <v>4743</v>
      </c>
      <c r="C2430" t="s">
        <v>4744</v>
      </c>
    </row>
    <row r="2431" spans="1:3" x14ac:dyDescent="0.25">
      <c r="A2431" t="str">
        <f>"81144 "</f>
        <v xml:space="preserve">81144 </v>
      </c>
      <c r="B2431" t="s">
        <v>4745</v>
      </c>
      <c r="C2431" t="s">
        <v>4746</v>
      </c>
    </row>
    <row r="2432" spans="1:3" x14ac:dyDescent="0.25">
      <c r="A2432" t="str">
        <f>"01FF1 "</f>
        <v xml:space="preserve">01FF1 </v>
      </c>
      <c r="B2432" t="s">
        <v>4747</v>
      </c>
      <c r="C2432" t="s">
        <v>4748</v>
      </c>
    </row>
    <row r="2433" spans="1:3" x14ac:dyDescent="0.25">
      <c r="A2433" t="str">
        <f>"819521"</f>
        <v>819521</v>
      </c>
      <c r="B2433" t="s">
        <v>4749</v>
      </c>
      <c r="C2433" t="s">
        <v>4750</v>
      </c>
    </row>
    <row r="2434" spans="1:3" x14ac:dyDescent="0.25">
      <c r="A2434" t="str">
        <f>"811841"</f>
        <v>811841</v>
      </c>
      <c r="B2434" t="s">
        <v>4751</v>
      </c>
      <c r="C2434" t="s">
        <v>4752</v>
      </c>
    </row>
    <row r="2435" spans="1:3" x14ac:dyDescent="0.25">
      <c r="A2435" t="str">
        <f>"761283"</f>
        <v>761283</v>
      </c>
      <c r="B2435" t="s">
        <v>4753</v>
      </c>
      <c r="C2435" t="s">
        <v>4754</v>
      </c>
    </row>
    <row r="2436" spans="1:3" x14ac:dyDescent="0.25">
      <c r="A2436" t="str">
        <f>"762285"</f>
        <v>762285</v>
      </c>
      <c r="B2436" t="s">
        <v>4755</v>
      </c>
      <c r="C2436" t="s">
        <v>4756</v>
      </c>
    </row>
    <row r="2437" spans="1:3" x14ac:dyDescent="0.25">
      <c r="A2437" t="str">
        <f>"01FP1 "</f>
        <v xml:space="preserve">01FP1 </v>
      </c>
      <c r="B2437" t="s">
        <v>4757</v>
      </c>
      <c r="C2437" t="s">
        <v>4758</v>
      </c>
    </row>
    <row r="2438" spans="1:3" x14ac:dyDescent="0.25">
      <c r="A2438" t="str">
        <f>"763175"</f>
        <v>763175</v>
      </c>
      <c r="B2438" t="s">
        <v>4759</v>
      </c>
      <c r="C2438" t="s">
        <v>4760</v>
      </c>
    </row>
    <row r="2439" spans="1:3" x14ac:dyDescent="0.25">
      <c r="A2439" t="str">
        <f>"81874 "</f>
        <v xml:space="preserve">81874 </v>
      </c>
      <c r="B2439" t="s">
        <v>4761</v>
      </c>
      <c r="C2439" t="s">
        <v>4762</v>
      </c>
    </row>
    <row r="2440" spans="1:3" x14ac:dyDescent="0.25">
      <c r="A2440" t="str">
        <f>"81875 "</f>
        <v xml:space="preserve">81875 </v>
      </c>
      <c r="B2440" t="s">
        <v>4763</v>
      </c>
      <c r="C2440" t="s">
        <v>4764</v>
      </c>
    </row>
    <row r="2441" spans="1:3" x14ac:dyDescent="0.25">
      <c r="A2441" t="str">
        <f>"811836"</f>
        <v>811836</v>
      </c>
      <c r="B2441" t="s">
        <v>4765</v>
      </c>
      <c r="C2441" t="s">
        <v>4766</v>
      </c>
    </row>
    <row r="2442" spans="1:3" x14ac:dyDescent="0.25">
      <c r="A2442" t="str">
        <f>"01EY1 "</f>
        <v xml:space="preserve">01EY1 </v>
      </c>
      <c r="B2442" t="s">
        <v>4767</v>
      </c>
      <c r="C2442" t="s">
        <v>4768</v>
      </c>
    </row>
    <row r="2443" spans="1:3" x14ac:dyDescent="0.25">
      <c r="A2443" t="str">
        <f>"01EY2 "</f>
        <v xml:space="preserve">01EY2 </v>
      </c>
      <c r="B2443" t="s">
        <v>4769</v>
      </c>
      <c r="C2443" t="s">
        <v>4770</v>
      </c>
    </row>
    <row r="2444" spans="1:3" x14ac:dyDescent="0.25">
      <c r="A2444" t="str">
        <f>"01EY3 "</f>
        <v xml:space="preserve">01EY3 </v>
      </c>
      <c r="B2444" t="s">
        <v>4771</v>
      </c>
      <c r="C2444" t="s">
        <v>4772</v>
      </c>
    </row>
    <row r="2445" spans="1:3" x14ac:dyDescent="0.25">
      <c r="A2445" t="str">
        <f>"763182"</f>
        <v>763182</v>
      </c>
      <c r="B2445" t="s">
        <v>4773</v>
      </c>
      <c r="C2445" t="s">
        <v>4774</v>
      </c>
    </row>
    <row r="2446" spans="1:3" x14ac:dyDescent="0.25">
      <c r="A2446" t="str">
        <f>"764470"</f>
        <v>764470</v>
      </c>
      <c r="B2446" t="s">
        <v>4775</v>
      </c>
      <c r="C2446" t="s">
        <v>4776</v>
      </c>
    </row>
    <row r="2447" spans="1:3" x14ac:dyDescent="0.25">
      <c r="A2447" t="str">
        <f>"764471"</f>
        <v>764471</v>
      </c>
      <c r="B2447" t="s">
        <v>4777</v>
      </c>
      <c r="C2447" t="s">
        <v>4778</v>
      </c>
    </row>
    <row r="2448" spans="1:3" x14ac:dyDescent="0.25">
      <c r="A2448" t="str">
        <f>"01EZ1 "</f>
        <v xml:space="preserve">01EZ1 </v>
      </c>
      <c r="B2448" t="s">
        <v>4779</v>
      </c>
      <c r="C2448" t="s">
        <v>4780</v>
      </c>
    </row>
    <row r="2449" spans="1:3" x14ac:dyDescent="0.25">
      <c r="A2449" t="str">
        <f>"764472"</f>
        <v>764472</v>
      </c>
      <c r="B2449" t="s">
        <v>4781</v>
      </c>
      <c r="C2449" t="s">
        <v>4782</v>
      </c>
    </row>
    <row r="2450" spans="1:3" x14ac:dyDescent="0.25">
      <c r="A2450" t="str">
        <f>"01EZ2 "</f>
        <v xml:space="preserve">01EZ2 </v>
      </c>
      <c r="B2450" t="s">
        <v>4783</v>
      </c>
      <c r="C2450" t="s">
        <v>4784</v>
      </c>
    </row>
    <row r="2451" spans="1:3" x14ac:dyDescent="0.25">
      <c r="A2451" t="str">
        <f>"763178"</f>
        <v>763178</v>
      </c>
      <c r="B2451" t="s">
        <v>4785</v>
      </c>
      <c r="C2451" t="s">
        <v>4786</v>
      </c>
    </row>
    <row r="2452" spans="1:3" x14ac:dyDescent="0.25">
      <c r="A2452" t="str">
        <f>"763177"</f>
        <v>763177</v>
      </c>
      <c r="B2452" t="s">
        <v>4787</v>
      </c>
      <c r="C2452" t="s">
        <v>4788</v>
      </c>
    </row>
    <row r="2453" spans="1:3" x14ac:dyDescent="0.25">
      <c r="A2453" t="str">
        <f>"764482"</f>
        <v>764482</v>
      </c>
      <c r="B2453" t="s">
        <v>4789</v>
      </c>
      <c r="C2453" t="s">
        <v>4790</v>
      </c>
    </row>
    <row r="2454" spans="1:3" x14ac:dyDescent="0.25">
      <c r="A2454" t="str">
        <f>"764479"</f>
        <v>764479</v>
      </c>
      <c r="B2454" t="s">
        <v>4791</v>
      </c>
      <c r="C2454" t="s">
        <v>4792</v>
      </c>
    </row>
    <row r="2455" spans="1:3" x14ac:dyDescent="0.25">
      <c r="A2455" t="str">
        <f>"764480"</f>
        <v>764480</v>
      </c>
      <c r="B2455" t="s">
        <v>4793</v>
      </c>
      <c r="C2455" t="s">
        <v>4794</v>
      </c>
    </row>
    <row r="2456" spans="1:3" x14ac:dyDescent="0.25">
      <c r="A2456" t="str">
        <f>"764481"</f>
        <v>764481</v>
      </c>
      <c r="B2456" t="s">
        <v>4795</v>
      </c>
      <c r="C2456" t="s">
        <v>4796</v>
      </c>
    </row>
    <row r="2457" spans="1:3" x14ac:dyDescent="0.25">
      <c r="A2457" t="str">
        <f>"764512"</f>
        <v>764512</v>
      </c>
      <c r="B2457" t="s">
        <v>4797</v>
      </c>
      <c r="C2457" t="s">
        <v>4798</v>
      </c>
    </row>
    <row r="2458" spans="1:3" x14ac:dyDescent="0.25">
      <c r="A2458" t="str">
        <f>"763193"</f>
        <v>763193</v>
      </c>
      <c r="B2458" t="s">
        <v>4799</v>
      </c>
      <c r="C2458" t="s">
        <v>4800</v>
      </c>
    </row>
    <row r="2459" spans="1:3" x14ac:dyDescent="0.25">
      <c r="A2459" t="str">
        <f>"764473"</f>
        <v>764473</v>
      </c>
      <c r="B2459" t="s">
        <v>4801</v>
      </c>
      <c r="C2459" t="s">
        <v>4802</v>
      </c>
    </row>
    <row r="2460" spans="1:3" x14ac:dyDescent="0.25">
      <c r="A2460" t="str">
        <f>"01FA1 "</f>
        <v xml:space="preserve">01FA1 </v>
      </c>
      <c r="B2460" t="s">
        <v>4803</v>
      </c>
      <c r="C2460" t="s">
        <v>4804</v>
      </c>
    </row>
    <row r="2461" spans="1:3" x14ac:dyDescent="0.25">
      <c r="A2461" t="str">
        <f>"01FG1 "</f>
        <v xml:space="preserve">01FG1 </v>
      </c>
      <c r="B2461" t="s">
        <v>4805</v>
      </c>
      <c r="C2461" t="s">
        <v>4806</v>
      </c>
    </row>
    <row r="2462" spans="1:3" x14ac:dyDescent="0.25">
      <c r="A2462" t="str">
        <f>"763186"</f>
        <v>763186</v>
      </c>
      <c r="B2462" t="s">
        <v>4807</v>
      </c>
      <c r="C2462" t="s">
        <v>4808</v>
      </c>
    </row>
    <row r="2463" spans="1:3" x14ac:dyDescent="0.25">
      <c r="A2463" t="str">
        <f>"763187"</f>
        <v>763187</v>
      </c>
      <c r="B2463" t="s">
        <v>4809</v>
      </c>
      <c r="C2463" t="s">
        <v>4810</v>
      </c>
    </row>
    <row r="2464" spans="1:3" x14ac:dyDescent="0.25">
      <c r="A2464" t="str">
        <f>"01ER1 "</f>
        <v xml:space="preserve">01ER1 </v>
      </c>
      <c r="B2464" t="s">
        <v>4811</v>
      </c>
      <c r="C2464" t="s">
        <v>4812</v>
      </c>
    </row>
    <row r="2465" spans="1:3" x14ac:dyDescent="0.25">
      <c r="A2465" t="str">
        <f>"764498"</f>
        <v>764498</v>
      </c>
      <c r="B2465" t="s">
        <v>4813</v>
      </c>
      <c r="C2465" t="s">
        <v>4814</v>
      </c>
    </row>
    <row r="2466" spans="1:3" x14ac:dyDescent="0.25">
      <c r="A2466" t="str">
        <f>"764499"</f>
        <v>764499</v>
      </c>
      <c r="B2466" t="s">
        <v>4815</v>
      </c>
      <c r="C2466" t="s">
        <v>4816</v>
      </c>
    </row>
    <row r="2467" spans="1:3" x14ac:dyDescent="0.25">
      <c r="A2467" t="str">
        <f>"763171"</f>
        <v>763171</v>
      </c>
      <c r="B2467" t="s">
        <v>4817</v>
      </c>
      <c r="C2467" t="s">
        <v>4818</v>
      </c>
    </row>
    <row r="2468" spans="1:3" x14ac:dyDescent="0.25">
      <c r="A2468" t="str">
        <f>"763194"</f>
        <v>763194</v>
      </c>
      <c r="B2468" t="s">
        <v>4819</v>
      </c>
      <c r="C2468" t="s">
        <v>4820</v>
      </c>
    </row>
    <row r="2469" spans="1:3" x14ac:dyDescent="0.25">
      <c r="A2469" t="str">
        <f>"763172"</f>
        <v>763172</v>
      </c>
      <c r="B2469" t="s">
        <v>4821</v>
      </c>
      <c r="C2469" t="s">
        <v>4822</v>
      </c>
    </row>
    <row r="2470" spans="1:3" x14ac:dyDescent="0.25">
      <c r="A2470" t="str">
        <f>"763173"</f>
        <v>763173</v>
      </c>
      <c r="B2470" t="s">
        <v>4823</v>
      </c>
      <c r="C2470" t="s">
        <v>4824</v>
      </c>
    </row>
    <row r="2471" spans="1:3" x14ac:dyDescent="0.25">
      <c r="A2471" t="str">
        <f>"764474"</f>
        <v>764474</v>
      </c>
      <c r="B2471" t="s">
        <v>4825</v>
      </c>
      <c r="C2471" t="s">
        <v>4826</v>
      </c>
    </row>
    <row r="2472" spans="1:3" x14ac:dyDescent="0.25">
      <c r="A2472" t="str">
        <f>"764469"</f>
        <v>764469</v>
      </c>
      <c r="B2472" t="s">
        <v>4827</v>
      </c>
      <c r="C2472" t="s">
        <v>4828</v>
      </c>
    </row>
    <row r="2473" spans="1:3" x14ac:dyDescent="0.25">
      <c r="A2473" t="str">
        <f>"764475"</f>
        <v>764475</v>
      </c>
      <c r="B2473" t="s">
        <v>4829</v>
      </c>
      <c r="C2473" t="s">
        <v>4830</v>
      </c>
    </row>
    <row r="2474" spans="1:3" x14ac:dyDescent="0.25">
      <c r="A2474" t="str">
        <f>"764476"</f>
        <v>764476</v>
      </c>
      <c r="B2474" t="s">
        <v>4831</v>
      </c>
      <c r="C2474" t="s">
        <v>4832</v>
      </c>
    </row>
    <row r="2475" spans="1:3" x14ac:dyDescent="0.25">
      <c r="A2475" t="str">
        <f>"01EJ2 "</f>
        <v xml:space="preserve">01EJ2 </v>
      </c>
      <c r="B2475" t="s">
        <v>4833</v>
      </c>
      <c r="C2475" t="s">
        <v>4834</v>
      </c>
    </row>
    <row r="2476" spans="1:3" x14ac:dyDescent="0.25">
      <c r="A2476" t="str">
        <f>"81934 "</f>
        <v xml:space="preserve">81934 </v>
      </c>
      <c r="B2476" t="s">
        <v>4835</v>
      </c>
      <c r="C2476" t="s">
        <v>4836</v>
      </c>
    </row>
    <row r="2477" spans="1:3" x14ac:dyDescent="0.25">
      <c r="A2477" t="str">
        <f>"762290"</f>
        <v>762290</v>
      </c>
      <c r="B2477" t="s">
        <v>4837</v>
      </c>
      <c r="C2477" t="s">
        <v>4838</v>
      </c>
    </row>
    <row r="2478" spans="1:3" x14ac:dyDescent="0.25">
      <c r="A2478" t="str">
        <f>"762291"</f>
        <v>762291</v>
      </c>
      <c r="B2478" t="s">
        <v>4839</v>
      </c>
      <c r="C2478" t="s">
        <v>4840</v>
      </c>
    </row>
    <row r="2479" spans="1:3" x14ac:dyDescent="0.25">
      <c r="A2479" t="str">
        <f>"880210"</f>
        <v>880210</v>
      </c>
      <c r="B2479" t="s">
        <v>4841</v>
      </c>
      <c r="C2479" t="s">
        <v>4842</v>
      </c>
    </row>
    <row r="2480" spans="1:3" x14ac:dyDescent="0.25">
      <c r="A2480" t="str">
        <f>"767079"</f>
        <v>767079</v>
      </c>
      <c r="B2480" t="s">
        <v>4843</v>
      </c>
      <c r="C2480" t="s">
        <v>4844</v>
      </c>
    </row>
    <row r="2481" spans="1:3" x14ac:dyDescent="0.25">
      <c r="A2481" t="str">
        <f>"764477"</f>
        <v>764477</v>
      </c>
      <c r="B2481" t="s">
        <v>4845</v>
      </c>
      <c r="C2481" t="s">
        <v>4846</v>
      </c>
    </row>
    <row r="2482" spans="1:3" x14ac:dyDescent="0.25">
      <c r="A2482" t="str">
        <f>"763174"</f>
        <v>763174</v>
      </c>
      <c r="B2482" t="s">
        <v>4847</v>
      </c>
      <c r="C2482" t="s">
        <v>4848</v>
      </c>
    </row>
    <row r="2483" spans="1:3" x14ac:dyDescent="0.25">
      <c r="A2483" t="str">
        <f>"762281"</f>
        <v>762281</v>
      </c>
      <c r="B2483" t="s">
        <v>4849</v>
      </c>
      <c r="C2483" t="s">
        <v>4850</v>
      </c>
    </row>
    <row r="2484" spans="1:3" x14ac:dyDescent="0.25">
      <c r="A2484" t="str">
        <f>"01E51 "</f>
        <v xml:space="preserve">01E51 </v>
      </c>
      <c r="B2484" t="s">
        <v>4851</v>
      </c>
      <c r="C2484" t="s">
        <v>4852</v>
      </c>
    </row>
    <row r="2485" spans="1:3" x14ac:dyDescent="0.25">
      <c r="A2485" t="str">
        <f>"01E52 "</f>
        <v xml:space="preserve">01E52 </v>
      </c>
      <c r="B2485" t="s">
        <v>4853</v>
      </c>
      <c r="C2485" t="s">
        <v>4854</v>
      </c>
    </row>
    <row r="2486" spans="1:3" x14ac:dyDescent="0.25">
      <c r="A2486" t="str">
        <f>"01E41 "</f>
        <v xml:space="preserve">01E41 </v>
      </c>
      <c r="B2486" t="s">
        <v>4855</v>
      </c>
      <c r="C2486" t="s">
        <v>4856</v>
      </c>
    </row>
    <row r="2487" spans="1:3" x14ac:dyDescent="0.25">
      <c r="A2487" t="str">
        <f>"01FB1 "</f>
        <v xml:space="preserve">01FB1 </v>
      </c>
      <c r="B2487" t="s">
        <v>4857</v>
      </c>
      <c r="C2487" t="s">
        <v>4858</v>
      </c>
    </row>
    <row r="2488" spans="1:3" x14ac:dyDescent="0.25">
      <c r="A2488" t="str">
        <f>"81935 "</f>
        <v xml:space="preserve">81935 </v>
      </c>
      <c r="B2488" t="s">
        <v>4859</v>
      </c>
      <c r="C2488" t="s">
        <v>4860</v>
      </c>
    </row>
    <row r="2489" spans="1:3" x14ac:dyDescent="0.25">
      <c r="A2489" t="str">
        <f>"761274"</f>
        <v>761274</v>
      </c>
      <c r="B2489" t="s">
        <v>4861</v>
      </c>
      <c r="C2489" t="s">
        <v>4862</v>
      </c>
    </row>
    <row r="2490" spans="1:3" x14ac:dyDescent="0.25">
      <c r="A2490" t="str">
        <f>"01E42 "</f>
        <v xml:space="preserve">01E42 </v>
      </c>
      <c r="B2490" t="s">
        <v>4863</v>
      </c>
      <c r="C2490" t="s">
        <v>4864</v>
      </c>
    </row>
    <row r="2491" spans="1:3" x14ac:dyDescent="0.25">
      <c r="A2491" t="str">
        <f>"764491"</f>
        <v>764491</v>
      </c>
      <c r="B2491" t="s">
        <v>4865</v>
      </c>
      <c r="C2491" t="s">
        <v>4866</v>
      </c>
    </row>
    <row r="2492" spans="1:3" x14ac:dyDescent="0.25">
      <c r="A2492" t="str">
        <f>"762292"</f>
        <v>762292</v>
      </c>
      <c r="B2492" t="s">
        <v>4867</v>
      </c>
      <c r="C2492" t="s">
        <v>4868</v>
      </c>
    </row>
    <row r="2493" spans="1:3" x14ac:dyDescent="0.25">
      <c r="A2493" t="str">
        <f>"762280"</f>
        <v>762280</v>
      </c>
      <c r="B2493" t="s">
        <v>4869</v>
      </c>
      <c r="C2493" t="s">
        <v>4870</v>
      </c>
    </row>
    <row r="2494" spans="1:3" x14ac:dyDescent="0.25">
      <c r="A2494" t="str">
        <f>"761276"</f>
        <v>761276</v>
      </c>
      <c r="B2494" t="s">
        <v>4871</v>
      </c>
      <c r="C2494" t="s">
        <v>4872</v>
      </c>
    </row>
    <row r="2495" spans="1:3" x14ac:dyDescent="0.25">
      <c r="A2495" t="str">
        <f>"764500"</f>
        <v>764500</v>
      </c>
      <c r="B2495" t="s">
        <v>4873</v>
      </c>
      <c r="C2495" t="s">
        <v>4874</v>
      </c>
    </row>
    <row r="2496" spans="1:3" x14ac:dyDescent="0.25">
      <c r="A2496" t="str">
        <f>"764492"</f>
        <v>764492</v>
      </c>
      <c r="B2496" t="s">
        <v>4875</v>
      </c>
      <c r="C2496" t="s">
        <v>4876</v>
      </c>
    </row>
    <row r="2497" spans="1:3" x14ac:dyDescent="0.25">
      <c r="A2497" t="str">
        <f>"01E91 "</f>
        <v xml:space="preserve">01E91 </v>
      </c>
      <c r="B2497" t="s">
        <v>4877</v>
      </c>
      <c r="C2497" t="s">
        <v>4878</v>
      </c>
    </row>
    <row r="2498" spans="1:3" x14ac:dyDescent="0.25">
      <c r="A2498" t="str">
        <f>"01E92 "</f>
        <v xml:space="preserve">01E92 </v>
      </c>
      <c r="B2498" t="s">
        <v>4879</v>
      </c>
      <c r="C2498" t="s">
        <v>4880</v>
      </c>
    </row>
    <row r="2499" spans="1:3" x14ac:dyDescent="0.25">
      <c r="A2499" t="str">
        <f>"01ET1 "</f>
        <v xml:space="preserve">01ET1 </v>
      </c>
      <c r="B2499" t="s">
        <v>4881</v>
      </c>
      <c r="C2499" t="s">
        <v>4882</v>
      </c>
    </row>
    <row r="2500" spans="1:3" x14ac:dyDescent="0.25">
      <c r="A2500" t="str">
        <f>"01EU1 "</f>
        <v xml:space="preserve">01EU1 </v>
      </c>
      <c r="B2500" t="s">
        <v>4883</v>
      </c>
      <c r="C2500" t="s">
        <v>4884</v>
      </c>
    </row>
    <row r="2501" spans="1:3" x14ac:dyDescent="0.25">
      <c r="A2501" t="str">
        <f>"01EU2 "</f>
        <v xml:space="preserve">01EU2 </v>
      </c>
      <c r="B2501" t="s">
        <v>4885</v>
      </c>
      <c r="C2501" t="s">
        <v>4886</v>
      </c>
    </row>
    <row r="2502" spans="1:3" x14ac:dyDescent="0.25">
      <c r="A2502" t="str">
        <f>"01ES1 "</f>
        <v xml:space="preserve">01ES1 </v>
      </c>
      <c r="B2502" t="s">
        <v>4887</v>
      </c>
      <c r="C2502" t="s">
        <v>4888</v>
      </c>
    </row>
    <row r="2503" spans="1:3" x14ac:dyDescent="0.25">
      <c r="A2503" t="str">
        <f>"81232 "</f>
        <v xml:space="preserve">81232 </v>
      </c>
      <c r="B2503" t="s">
        <v>4889</v>
      </c>
      <c r="C2503" t="s">
        <v>4890</v>
      </c>
    </row>
    <row r="2504" spans="1:3" x14ac:dyDescent="0.25">
      <c r="A2504" t="str">
        <f>"810611"</f>
        <v>810611</v>
      </c>
      <c r="B2504" t="s">
        <v>4891</v>
      </c>
      <c r="C2504" t="s">
        <v>4892</v>
      </c>
    </row>
    <row r="2505" spans="1:3" x14ac:dyDescent="0.25">
      <c r="A2505" t="str">
        <f>"819516"</f>
        <v>819516</v>
      </c>
      <c r="B2505" t="s">
        <v>4893</v>
      </c>
      <c r="C2505" t="s">
        <v>4894</v>
      </c>
    </row>
    <row r="2506" spans="1:3" x14ac:dyDescent="0.25">
      <c r="A2506" t="str">
        <f>"819517"</f>
        <v>819517</v>
      </c>
      <c r="B2506" t="s">
        <v>4895</v>
      </c>
      <c r="C2506" t="s">
        <v>4896</v>
      </c>
    </row>
    <row r="2507" spans="1:3" x14ac:dyDescent="0.25">
      <c r="A2507" t="str">
        <f>"819518"</f>
        <v>819518</v>
      </c>
      <c r="B2507" t="s">
        <v>4897</v>
      </c>
      <c r="C2507" t="s">
        <v>4898</v>
      </c>
    </row>
    <row r="2508" spans="1:3" x14ac:dyDescent="0.25">
      <c r="A2508" t="str">
        <f>"01EW1 "</f>
        <v xml:space="preserve">01EW1 </v>
      </c>
      <c r="B2508" t="s">
        <v>4899</v>
      </c>
      <c r="C2508" t="s">
        <v>4900</v>
      </c>
    </row>
    <row r="2509" spans="1:3" x14ac:dyDescent="0.25">
      <c r="A2509" t="str">
        <f>"01EW2 "</f>
        <v xml:space="preserve">01EW2 </v>
      </c>
      <c r="B2509" t="s">
        <v>4901</v>
      </c>
      <c r="C2509" t="s">
        <v>4902</v>
      </c>
    </row>
    <row r="2510" spans="1:3" x14ac:dyDescent="0.25">
      <c r="A2510" t="str">
        <f>"01EW3 "</f>
        <v xml:space="preserve">01EW3 </v>
      </c>
      <c r="B2510" t="s">
        <v>4903</v>
      </c>
      <c r="C2510" t="s">
        <v>4904</v>
      </c>
    </row>
    <row r="2511" spans="1:3" x14ac:dyDescent="0.25">
      <c r="A2511" t="str">
        <f>"01EW4 "</f>
        <v xml:space="preserve">01EW4 </v>
      </c>
      <c r="B2511" t="s">
        <v>4905</v>
      </c>
      <c r="C2511" t="s">
        <v>4906</v>
      </c>
    </row>
    <row r="2512" spans="1:3" x14ac:dyDescent="0.25">
      <c r="A2512" t="str">
        <f>"762283"</f>
        <v>762283</v>
      </c>
      <c r="B2512" t="s">
        <v>4907</v>
      </c>
      <c r="C2512" t="s">
        <v>4908</v>
      </c>
    </row>
    <row r="2513" spans="1:3" x14ac:dyDescent="0.25">
      <c r="A2513" t="str">
        <f>"764493"</f>
        <v>764493</v>
      </c>
      <c r="B2513" t="s">
        <v>4909</v>
      </c>
      <c r="C2513" t="s">
        <v>4910</v>
      </c>
    </row>
    <row r="2514" spans="1:3" x14ac:dyDescent="0.25">
      <c r="A2514" t="str">
        <f>"764484"</f>
        <v>764484</v>
      </c>
      <c r="B2514" t="s">
        <v>4911</v>
      </c>
      <c r="C2514" t="s">
        <v>4912</v>
      </c>
    </row>
    <row r="2515" spans="1:3" x14ac:dyDescent="0.25">
      <c r="A2515" t="str">
        <f>"764485"</f>
        <v>764485</v>
      </c>
      <c r="B2515" t="s">
        <v>4913</v>
      </c>
      <c r="C2515" t="s">
        <v>4914</v>
      </c>
    </row>
    <row r="2516" spans="1:3" x14ac:dyDescent="0.25">
      <c r="A2516" t="str">
        <f>"764486"</f>
        <v>764486</v>
      </c>
      <c r="B2516" t="s">
        <v>4915</v>
      </c>
      <c r="C2516" t="s">
        <v>4916</v>
      </c>
    </row>
    <row r="2517" spans="1:3" x14ac:dyDescent="0.25">
      <c r="A2517" t="str">
        <f>"764494"</f>
        <v>764494</v>
      </c>
      <c r="B2517" t="s">
        <v>4917</v>
      </c>
      <c r="C2517" t="s">
        <v>4918</v>
      </c>
    </row>
    <row r="2518" spans="1:3" x14ac:dyDescent="0.25">
      <c r="A2518" t="str">
        <f>"764495"</f>
        <v>764495</v>
      </c>
      <c r="B2518" t="s">
        <v>4919</v>
      </c>
      <c r="C2518" t="s">
        <v>4920</v>
      </c>
    </row>
    <row r="2519" spans="1:3" x14ac:dyDescent="0.25">
      <c r="A2519" t="str">
        <f>"764496"</f>
        <v>764496</v>
      </c>
      <c r="B2519" t="s">
        <v>4921</v>
      </c>
      <c r="C2519" t="s">
        <v>4922</v>
      </c>
    </row>
    <row r="2520" spans="1:3" x14ac:dyDescent="0.25">
      <c r="A2520" t="str">
        <f>"764497"</f>
        <v>764497</v>
      </c>
      <c r="B2520" t="s">
        <v>4923</v>
      </c>
      <c r="C2520" t="s">
        <v>4924</v>
      </c>
    </row>
    <row r="2521" spans="1:3" x14ac:dyDescent="0.25">
      <c r="A2521" t="str">
        <f>"764487"</f>
        <v>764487</v>
      </c>
      <c r="B2521" t="s">
        <v>4925</v>
      </c>
      <c r="C2521" t="s">
        <v>4926</v>
      </c>
    </row>
    <row r="2522" spans="1:3" x14ac:dyDescent="0.25">
      <c r="A2522" t="str">
        <f>"763179"</f>
        <v>763179</v>
      </c>
      <c r="B2522" t="s">
        <v>4927</v>
      </c>
      <c r="C2522" t="s">
        <v>4928</v>
      </c>
    </row>
    <row r="2523" spans="1:3" x14ac:dyDescent="0.25">
      <c r="A2523" t="str">
        <f>"763183"</f>
        <v>763183</v>
      </c>
      <c r="B2523" t="s">
        <v>4929</v>
      </c>
      <c r="C2523" t="s">
        <v>4930</v>
      </c>
    </row>
    <row r="2524" spans="1:3" x14ac:dyDescent="0.25">
      <c r="A2524" t="str">
        <f>"763184"</f>
        <v>763184</v>
      </c>
      <c r="B2524" t="s">
        <v>4931</v>
      </c>
      <c r="C2524" t="s">
        <v>4932</v>
      </c>
    </row>
    <row r="2525" spans="1:3" x14ac:dyDescent="0.25">
      <c r="A2525" t="str">
        <f>"763185"</f>
        <v>763185</v>
      </c>
      <c r="B2525" t="s">
        <v>4933</v>
      </c>
      <c r="C2525" t="s">
        <v>4934</v>
      </c>
    </row>
    <row r="2526" spans="1:3" x14ac:dyDescent="0.25">
      <c r="A2526" t="str">
        <f>"761282"</f>
        <v>761282</v>
      </c>
      <c r="B2526" t="s">
        <v>4935</v>
      </c>
      <c r="C2526" t="s">
        <v>4936</v>
      </c>
    </row>
    <row r="2527" spans="1:3" x14ac:dyDescent="0.25">
      <c r="A2527" t="str">
        <f>"764501"</f>
        <v>764501</v>
      </c>
      <c r="B2527" t="s">
        <v>4937</v>
      </c>
      <c r="C2527" t="s">
        <v>4938</v>
      </c>
    </row>
    <row r="2528" spans="1:3" x14ac:dyDescent="0.25">
      <c r="A2528" t="str">
        <f>"01E61 "</f>
        <v xml:space="preserve">01E61 </v>
      </c>
      <c r="B2528" t="s">
        <v>4939</v>
      </c>
      <c r="C2528" t="s">
        <v>4940</v>
      </c>
    </row>
    <row r="2529" spans="1:3" x14ac:dyDescent="0.25">
      <c r="A2529" t="str">
        <f>"763180"</f>
        <v>763180</v>
      </c>
      <c r="B2529" t="s">
        <v>4941</v>
      </c>
      <c r="C2529" t="s">
        <v>4942</v>
      </c>
    </row>
    <row r="2530" spans="1:3" x14ac:dyDescent="0.25">
      <c r="A2530" t="str">
        <f>"812114"</f>
        <v>812114</v>
      </c>
      <c r="B2530" t="s">
        <v>4943</v>
      </c>
      <c r="C2530" t="s">
        <v>4944</v>
      </c>
    </row>
    <row r="2531" spans="1:3" x14ac:dyDescent="0.25">
      <c r="A2531" t="str">
        <f>"01E81 "</f>
        <v xml:space="preserve">01E81 </v>
      </c>
      <c r="B2531" t="s">
        <v>4945</v>
      </c>
      <c r="C2531" t="s">
        <v>4946</v>
      </c>
    </row>
    <row r="2532" spans="1:3" x14ac:dyDescent="0.25">
      <c r="A2532" t="str">
        <f>"811838"</f>
        <v>811838</v>
      </c>
      <c r="B2532" t="s">
        <v>4947</v>
      </c>
      <c r="C2532" t="s">
        <v>4948</v>
      </c>
    </row>
    <row r="2533" spans="1:3" x14ac:dyDescent="0.25">
      <c r="A2533" t="str">
        <f>"811839"</f>
        <v>811839</v>
      </c>
      <c r="B2533" t="s">
        <v>4949</v>
      </c>
      <c r="C2533" t="s">
        <v>4950</v>
      </c>
    </row>
    <row r="2534" spans="1:3" x14ac:dyDescent="0.25">
      <c r="A2534" t="str">
        <f>"01E71 "</f>
        <v xml:space="preserve">01E71 </v>
      </c>
      <c r="B2534" t="s">
        <v>4951</v>
      </c>
      <c r="C2534" t="s">
        <v>4952</v>
      </c>
    </row>
    <row r="2535" spans="1:3" x14ac:dyDescent="0.25">
      <c r="A2535" t="str">
        <f>"81463 "</f>
        <v xml:space="preserve">81463 </v>
      </c>
      <c r="B2535" t="s">
        <v>4953</v>
      </c>
      <c r="C2535" t="s">
        <v>4954</v>
      </c>
    </row>
    <row r="2536" spans="1:3" x14ac:dyDescent="0.25">
      <c r="A2536" t="str">
        <f>"81464 "</f>
        <v xml:space="preserve">81464 </v>
      </c>
      <c r="B2536" t="s">
        <v>4955</v>
      </c>
      <c r="C2536" t="s">
        <v>4956</v>
      </c>
    </row>
    <row r="2537" spans="1:3" x14ac:dyDescent="0.25">
      <c r="A2537" t="str">
        <f>"819519"</f>
        <v>819519</v>
      </c>
      <c r="B2537" t="s">
        <v>4957</v>
      </c>
      <c r="C2537" t="s">
        <v>4958</v>
      </c>
    </row>
    <row r="2538" spans="1:3" x14ac:dyDescent="0.25">
      <c r="A2538" t="str">
        <f>"819520"</f>
        <v>819520</v>
      </c>
      <c r="B2538" t="s">
        <v>4959</v>
      </c>
      <c r="C2538" t="s">
        <v>4960</v>
      </c>
    </row>
    <row r="2539" spans="1:3" x14ac:dyDescent="0.25">
      <c r="A2539" t="str">
        <f>"01FQ1 "</f>
        <v xml:space="preserve">01FQ1 </v>
      </c>
      <c r="B2539" t="s">
        <v>4961</v>
      </c>
      <c r="C2539" t="s">
        <v>4962</v>
      </c>
    </row>
    <row r="2540" spans="1:3" x14ac:dyDescent="0.25">
      <c r="A2540" t="str">
        <f>"763189"</f>
        <v>763189</v>
      </c>
      <c r="B2540" t="s">
        <v>4963</v>
      </c>
      <c r="C2540" t="s">
        <v>4964</v>
      </c>
    </row>
    <row r="2541" spans="1:3" x14ac:dyDescent="0.25">
      <c r="A2541" t="str">
        <f>"01LL1 "</f>
        <v xml:space="preserve">01LL1 </v>
      </c>
      <c r="B2541" t="s">
        <v>4965</v>
      </c>
      <c r="C2541" t="s">
        <v>4966</v>
      </c>
    </row>
    <row r="2542" spans="1:3" x14ac:dyDescent="0.25">
      <c r="A2542" t="str">
        <f>"763188"</f>
        <v>763188</v>
      </c>
      <c r="B2542" t="s">
        <v>4967</v>
      </c>
      <c r="C2542" t="s">
        <v>4968</v>
      </c>
    </row>
    <row r="2543" spans="1:3" x14ac:dyDescent="0.25">
      <c r="A2543" t="str">
        <f>"762284"</f>
        <v>762284</v>
      </c>
      <c r="B2543" t="s">
        <v>4969</v>
      </c>
      <c r="C2543" t="s">
        <v>4970</v>
      </c>
    </row>
    <row r="2544" spans="1:3" x14ac:dyDescent="0.25">
      <c r="A2544" t="str">
        <f>"761277"</f>
        <v>761277</v>
      </c>
      <c r="B2544" t="s">
        <v>4971</v>
      </c>
      <c r="C2544" t="s">
        <v>4972</v>
      </c>
    </row>
    <row r="2545" spans="1:3" x14ac:dyDescent="0.25">
      <c r="A2545" t="str">
        <f>"765024"</f>
        <v>765024</v>
      </c>
      <c r="B2545" t="s">
        <v>4973</v>
      </c>
      <c r="C2545" t="s">
        <v>4974</v>
      </c>
    </row>
    <row r="2546" spans="1:3" x14ac:dyDescent="0.25">
      <c r="A2546" t="str">
        <f>"01EJ3 "</f>
        <v xml:space="preserve">01EJ3 </v>
      </c>
      <c r="B2546" t="s">
        <v>4975</v>
      </c>
      <c r="C2546" t="s">
        <v>4976</v>
      </c>
    </row>
    <row r="2547" spans="1:3" x14ac:dyDescent="0.25">
      <c r="A2547" t="str">
        <f>"764489"</f>
        <v>764489</v>
      </c>
      <c r="B2547" t="s">
        <v>4977</v>
      </c>
      <c r="C2547" t="s">
        <v>4978</v>
      </c>
    </row>
    <row r="2548" spans="1:3" x14ac:dyDescent="0.25">
      <c r="A2548" t="str">
        <f>"761278"</f>
        <v>761278</v>
      </c>
      <c r="B2548" t="s">
        <v>4979</v>
      </c>
      <c r="C2548" t="s">
        <v>4980</v>
      </c>
    </row>
    <row r="2549" spans="1:3" x14ac:dyDescent="0.25">
      <c r="A2549" t="str">
        <f>"761279"</f>
        <v>761279</v>
      </c>
      <c r="B2549" t="s">
        <v>4981</v>
      </c>
      <c r="C2549" t="s">
        <v>4982</v>
      </c>
    </row>
    <row r="2550" spans="1:3" x14ac:dyDescent="0.25">
      <c r="A2550" t="str">
        <f>"764502"</f>
        <v>764502</v>
      </c>
      <c r="B2550" t="s">
        <v>4983</v>
      </c>
      <c r="C2550" t="s">
        <v>4984</v>
      </c>
    </row>
    <row r="2551" spans="1:3" x14ac:dyDescent="0.25">
      <c r="A2551" t="str">
        <f>"761284"</f>
        <v>761284</v>
      </c>
      <c r="B2551" t="s">
        <v>4985</v>
      </c>
      <c r="C2551" t="s">
        <v>4986</v>
      </c>
    </row>
    <row r="2552" spans="1:3" x14ac:dyDescent="0.25">
      <c r="A2552" t="str">
        <f>"761280"</f>
        <v>761280</v>
      </c>
      <c r="B2552" t="s">
        <v>4987</v>
      </c>
      <c r="C2552" t="s">
        <v>4988</v>
      </c>
    </row>
    <row r="2553" spans="1:3" x14ac:dyDescent="0.25">
      <c r="A2553" t="str">
        <f>"761281"</f>
        <v>761281</v>
      </c>
      <c r="B2553" t="s">
        <v>4989</v>
      </c>
      <c r="C2553" t="s">
        <v>4990</v>
      </c>
    </row>
    <row r="2554" spans="1:3" x14ac:dyDescent="0.25">
      <c r="A2554" t="str">
        <f>"811840"</f>
        <v>811840</v>
      </c>
      <c r="B2554" t="s">
        <v>4991</v>
      </c>
      <c r="C2554" t="s">
        <v>4992</v>
      </c>
    </row>
    <row r="2555" spans="1:3" x14ac:dyDescent="0.25">
      <c r="A2555" t="str">
        <f>"764490"</f>
        <v>764490</v>
      </c>
      <c r="B2555" t="s">
        <v>4993</v>
      </c>
      <c r="C2555" t="s">
        <v>4994</v>
      </c>
    </row>
    <row r="2556" spans="1:3" x14ac:dyDescent="0.25">
      <c r="A2556" t="str">
        <f>"763181"</f>
        <v>763181</v>
      </c>
      <c r="B2556" t="s">
        <v>4995</v>
      </c>
      <c r="C2556" t="s">
        <v>4996</v>
      </c>
    </row>
    <row r="2557" spans="1:3" x14ac:dyDescent="0.25">
      <c r="A2557" t="str">
        <f>"762286"</f>
        <v>762286</v>
      </c>
      <c r="B2557" t="s">
        <v>4997</v>
      </c>
      <c r="C2557" t="s">
        <v>4998</v>
      </c>
    </row>
    <row r="2558" spans="1:3" x14ac:dyDescent="0.25">
      <c r="A2558" t="str">
        <f>"762287"</f>
        <v>762287</v>
      </c>
      <c r="B2558" t="s">
        <v>4999</v>
      </c>
      <c r="C2558" t="s">
        <v>5000</v>
      </c>
    </row>
    <row r="2559" spans="1:3" x14ac:dyDescent="0.25">
      <c r="A2559" t="str">
        <f>"01FFP "</f>
        <v xml:space="preserve">01FFP </v>
      </c>
      <c r="B2559" t="s">
        <v>5001</v>
      </c>
      <c r="C2559" t="s">
        <v>5002</v>
      </c>
    </row>
    <row r="2560" spans="1:3" x14ac:dyDescent="0.25">
      <c r="A2560" t="str">
        <f>"761287"</f>
        <v>761287</v>
      </c>
      <c r="B2560" t="s">
        <v>5003</v>
      </c>
      <c r="C2560" t="s">
        <v>5004</v>
      </c>
    </row>
    <row r="2561" spans="1:3" x14ac:dyDescent="0.25">
      <c r="A2561" t="str">
        <f>"01FI1 "</f>
        <v xml:space="preserve">01FI1 </v>
      </c>
      <c r="B2561" t="s">
        <v>5005</v>
      </c>
      <c r="C2561" t="s">
        <v>5006</v>
      </c>
    </row>
    <row r="2562" spans="1:3" x14ac:dyDescent="0.25">
      <c r="A2562" t="str">
        <f>"01FJ1 "</f>
        <v xml:space="preserve">01FJ1 </v>
      </c>
      <c r="B2562" t="s">
        <v>5007</v>
      </c>
      <c r="C2562" t="s">
        <v>5008</v>
      </c>
    </row>
    <row r="2563" spans="1:3" x14ac:dyDescent="0.25">
      <c r="A2563" t="str">
        <f>"01FJ2 "</f>
        <v xml:space="preserve">01FJ2 </v>
      </c>
      <c r="B2563" t="s">
        <v>5009</v>
      </c>
      <c r="C2563" t="s">
        <v>5010</v>
      </c>
    </row>
    <row r="2564" spans="1:3" x14ac:dyDescent="0.25">
      <c r="A2564" t="str">
        <f>"01FJ3 "</f>
        <v xml:space="preserve">01FJ3 </v>
      </c>
      <c r="B2564" t="s">
        <v>5011</v>
      </c>
      <c r="C2564" t="s">
        <v>5012</v>
      </c>
    </row>
    <row r="2565" spans="1:3" x14ac:dyDescent="0.25">
      <c r="A2565" t="str">
        <f>"763190"</f>
        <v>763190</v>
      </c>
      <c r="B2565" t="s">
        <v>5013</v>
      </c>
      <c r="C2565" t="s">
        <v>5014</v>
      </c>
    </row>
    <row r="2566" spans="1:3" x14ac:dyDescent="0.25">
      <c r="A2566" t="str">
        <f>"763191"</f>
        <v>763191</v>
      </c>
      <c r="B2566" t="s">
        <v>5015</v>
      </c>
      <c r="C2566" t="s">
        <v>5016</v>
      </c>
    </row>
    <row r="2567" spans="1:3" x14ac:dyDescent="0.25">
      <c r="A2567" t="str">
        <f>"01EE2 "</f>
        <v xml:space="preserve">01EE2 </v>
      </c>
      <c r="B2567" t="s">
        <v>5017</v>
      </c>
      <c r="C2567" t="s">
        <v>5018</v>
      </c>
    </row>
    <row r="2568" spans="1:3" x14ac:dyDescent="0.25">
      <c r="A2568" t="str">
        <f>"01FF2 "</f>
        <v xml:space="preserve">01FF2 </v>
      </c>
      <c r="B2568" t="s">
        <v>5019</v>
      </c>
      <c r="C2568" t="s">
        <v>5020</v>
      </c>
    </row>
    <row r="2569" spans="1:3" x14ac:dyDescent="0.25">
      <c r="A2569" t="str">
        <f>"01FV1 "</f>
        <v xml:space="preserve">01FV1 </v>
      </c>
      <c r="B2569" t="s">
        <v>5021</v>
      </c>
      <c r="C2569" t="s">
        <v>5022</v>
      </c>
    </row>
    <row r="2570" spans="1:3" x14ac:dyDescent="0.25">
      <c r="A2570" t="str">
        <f>"01E82 "</f>
        <v xml:space="preserve">01E82 </v>
      </c>
      <c r="B2570" t="s">
        <v>5023</v>
      </c>
      <c r="C2570" t="s">
        <v>5024</v>
      </c>
    </row>
    <row r="2571" spans="1:3" x14ac:dyDescent="0.25">
      <c r="A2571" t="str">
        <f>"761285"</f>
        <v>761285</v>
      </c>
      <c r="B2571" t="s">
        <v>5025</v>
      </c>
      <c r="C2571" t="s">
        <v>5026</v>
      </c>
    </row>
    <row r="2572" spans="1:3" x14ac:dyDescent="0.25">
      <c r="A2572" t="str">
        <f>"762288"</f>
        <v>762288</v>
      </c>
      <c r="B2572" t="s">
        <v>5027</v>
      </c>
      <c r="C2572" t="s">
        <v>5028</v>
      </c>
    </row>
    <row r="2573" spans="1:3" x14ac:dyDescent="0.25">
      <c r="A2573" t="str">
        <f>"764513"</f>
        <v>764513</v>
      </c>
      <c r="B2573" t="s">
        <v>5029</v>
      </c>
      <c r="C2573" t="s">
        <v>5030</v>
      </c>
    </row>
    <row r="2574" spans="1:3" x14ac:dyDescent="0.25">
      <c r="A2574" t="str">
        <f>"01FR1 "</f>
        <v xml:space="preserve">01FR1 </v>
      </c>
      <c r="B2574" t="s">
        <v>5031</v>
      </c>
      <c r="C2574" t="s">
        <v>5032</v>
      </c>
    </row>
    <row r="2575" spans="1:3" x14ac:dyDescent="0.25">
      <c r="A2575" t="str">
        <f>"01FS1 "</f>
        <v xml:space="preserve">01FS1 </v>
      </c>
      <c r="B2575" t="s">
        <v>5033</v>
      </c>
      <c r="C2575" t="s">
        <v>5034</v>
      </c>
    </row>
    <row r="2576" spans="1:3" x14ac:dyDescent="0.25">
      <c r="A2576" t="str">
        <f>"01FT1 "</f>
        <v xml:space="preserve">01FT1 </v>
      </c>
      <c r="B2576" t="s">
        <v>5035</v>
      </c>
      <c r="C2576" t="s">
        <v>5036</v>
      </c>
    </row>
    <row r="2577" spans="1:3" x14ac:dyDescent="0.25">
      <c r="A2577" t="str">
        <f>"811842"</f>
        <v>811842</v>
      </c>
      <c r="B2577" t="s">
        <v>5037</v>
      </c>
      <c r="C2577" t="s">
        <v>5038</v>
      </c>
    </row>
    <row r="2578" spans="1:3" x14ac:dyDescent="0.25">
      <c r="A2578" t="str">
        <f>"811843"</f>
        <v>811843</v>
      </c>
      <c r="B2578" t="s">
        <v>5039</v>
      </c>
      <c r="C2578" t="s">
        <v>5040</v>
      </c>
    </row>
    <row r="2579" spans="1:3" x14ac:dyDescent="0.25">
      <c r="A2579" t="str">
        <f>"764503"</f>
        <v>764503</v>
      </c>
      <c r="B2579" t="s">
        <v>5041</v>
      </c>
      <c r="C2579" t="s">
        <v>5042</v>
      </c>
    </row>
    <row r="2580" spans="1:3" x14ac:dyDescent="0.25">
      <c r="A2580" t="str">
        <f>"764504"</f>
        <v>764504</v>
      </c>
      <c r="B2580" t="s">
        <v>5043</v>
      </c>
      <c r="C2580" t="s">
        <v>5044</v>
      </c>
    </row>
    <row r="2581" spans="1:3" x14ac:dyDescent="0.25">
      <c r="A2581" t="str">
        <f>"764505"</f>
        <v>764505</v>
      </c>
      <c r="B2581" t="s">
        <v>5045</v>
      </c>
      <c r="C2581" t="s">
        <v>5046</v>
      </c>
    </row>
    <row r="2582" spans="1:3" x14ac:dyDescent="0.25">
      <c r="A2582" t="str">
        <f>"764506"</f>
        <v>764506</v>
      </c>
      <c r="B2582" t="s">
        <v>5047</v>
      </c>
      <c r="C2582" t="s">
        <v>5048</v>
      </c>
    </row>
    <row r="2583" spans="1:3" x14ac:dyDescent="0.25">
      <c r="A2583" t="str">
        <f>"764507"</f>
        <v>764507</v>
      </c>
      <c r="B2583" t="s">
        <v>5049</v>
      </c>
      <c r="C2583" t="s">
        <v>5050</v>
      </c>
    </row>
    <row r="2584" spans="1:3" x14ac:dyDescent="0.25">
      <c r="A2584" t="str">
        <f>"764508"</f>
        <v>764508</v>
      </c>
      <c r="B2584" t="s">
        <v>5051</v>
      </c>
      <c r="C2584" t="s">
        <v>5052</v>
      </c>
    </row>
    <row r="2585" spans="1:3" x14ac:dyDescent="0.25">
      <c r="A2585" t="str">
        <f>"01FH1 "</f>
        <v xml:space="preserve">01FH1 </v>
      </c>
      <c r="B2585" t="s">
        <v>5053</v>
      </c>
      <c r="C2585" t="s">
        <v>5054</v>
      </c>
    </row>
    <row r="2586" spans="1:3" x14ac:dyDescent="0.25">
      <c r="A2586" t="str">
        <f>"764509"</f>
        <v>764509</v>
      </c>
      <c r="B2586" t="s">
        <v>5055</v>
      </c>
      <c r="C2586" t="s">
        <v>5056</v>
      </c>
    </row>
    <row r="2587" spans="1:3" x14ac:dyDescent="0.25">
      <c r="A2587" t="str">
        <f>"764510"</f>
        <v>764510</v>
      </c>
      <c r="B2587" t="s">
        <v>5057</v>
      </c>
      <c r="C2587" t="s">
        <v>5058</v>
      </c>
    </row>
    <row r="2588" spans="1:3" x14ac:dyDescent="0.25">
      <c r="A2588" t="str">
        <f>"01FK1 "</f>
        <v xml:space="preserve">01FK1 </v>
      </c>
      <c r="B2588" t="s">
        <v>5059</v>
      </c>
      <c r="C2588" t="s">
        <v>5060</v>
      </c>
    </row>
    <row r="2589" spans="1:3" x14ac:dyDescent="0.25">
      <c r="A2589" t="str">
        <f>"01FM1 "</f>
        <v xml:space="preserve">01FM1 </v>
      </c>
      <c r="B2589" t="s">
        <v>5061</v>
      </c>
      <c r="C2589" t="s">
        <v>5062</v>
      </c>
    </row>
    <row r="2590" spans="1:3" x14ac:dyDescent="0.25">
      <c r="A2590" t="str">
        <f>"01EF4 "</f>
        <v xml:space="preserve">01EF4 </v>
      </c>
      <c r="B2590" t="s">
        <v>5063</v>
      </c>
      <c r="C2590" t="s">
        <v>5064</v>
      </c>
    </row>
    <row r="2591" spans="1:3" x14ac:dyDescent="0.25">
      <c r="A2591" t="str">
        <f>"01EF5 "</f>
        <v xml:space="preserve">01EF5 </v>
      </c>
      <c r="B2591" t="s">
        <v>5065</v>
      </c>
      <c r="C2591" t="s">
        <v>5066</v>
      </c>
    </row>
    <row r="2592" spans="1:3" x14ac:dyDescent="0.25">
      <c r="A2592" t="str">
        <f>"763192"</f>
        <v>763192</v>
      </c>
      <c r="B2592" t="s">
        <v>5067</v>
      </c>
      <c r="C2592" t="s">
        <v>5068</v>
      </c>
    </row>
    <row r="2593" spans="1:3" x14ac:dyDescent="0.25">
      <c r="A2593" t="str">
        <f>"762289"</f>
        <v>762289</v>
      </c>
      <c r="B2593" t="s">
        <v>5069</v>
      </c>
      <c r="C2593" t="s">
        <v>5070</v>
      </c>
    </row>
    <row r="2594" spans="1:3" x14ac:dyDescent="0.25">
      <c r="A2594" t="str">
        <f>"761286"</f>
        <v>761286</v>
      </c>
      <c r="B2594" t="s">
        <v>5071</v>
      </c>
      <c r="C2594" t="s">
        <v>5072</v>
      </c>
    </row>
    <row r="2595" spans="1:3" x14ac:dyDescent="0.25">
      <c r="A2595" t="str">
        <f>"01FL1 "</f>
        <v xml:space="preserve">01FL1 </v>
      </c>
      <c r="B2595" t="s">
        <v>5073</v>
      </c>
      <c r="C2595" t="s">
        <v>5074</v>
      </c>
    </row>
    <row r="2596" spans="1:3" x14ac:dyDescent="0.25">
      <c r="A2596" t="str">
        <f>"89443 "</f>
        <v xml:space="preserve">89443 </v>
      </c>
      <c r="B2596" t="s">
        <v>5075</v>
      </c>
      <c r="C2596" t="s">
        <v>5076</v>
      </c>
    </row>
    <row r="2597" spans="1:3" x14ac:dyDescent="0.25">
      <c r="A2597" t="str">
        <f>"01FN1 "</f>
        <v xml:space="preserve">01FN1 </v>
      </c>
      <c r="B2597" t="s">
        <v>5077</v>
      </c>
      <c r="C2597" t="s">
        <v>5078</v>
      </c>
    </row>
    <row r="2598" spans="1:3" x14ac:dyDescent="0.25">
      <c r="A2598" t="str">
        <f>"764511"</f>
        <v>764511</v>
      </c>
      <c r="B2598" t="s">
        <v>5079</v>
      </c>
      <c r="C2598" t="s">
        <v>5080</v>
      </c>
    </row>
    <row r="2599" spans="1:3" x14ac:dyDescent="0.25">
      <c r="A2599" t="str">
        <f>"MAACB2"</f>
        <v>MAACB2</v>
      </c>
      <c r="B2599" t="s">
        <v>5081</v>
      </c>
      <c r="C2599" t="s">
        <v>5082</v>
      </c>
    </row>
    <row r="2600" spans="1:3" x14ac:dyDescent="0.25">
      <c r="A2600" t="str">
        <f>"811844"</f>
        <v>811844</v>
      </c>
      <c r="B2600" t="s">
        <v>5083</v>
      </c>
      <c r="C2600" t="s">
        <v>5084</v>
      </c>
    </row>
    <row r="2601" spans="1:3" x14ac:dyDescent="0.25">
      <c r="A2601" t="str">
        <f>"811845"</f>
        <v>811845</v>
      </c>
      <c r="B2601" t="s">
        <v>5085</v>
      </c>
      <c r="C2601" t="s">
        <v>5086</v>
      </c>
    </row>
    <row r="2602" spans="1:3" x14ac:dyDescent="0.25">
      <c r="A2602" t="str">
        <f>"811846"</f>
        <v>811846</v>
      </c>
      <c r="B2602" t="s">
        <v>5087</v>
      </c>
      <c r="C2602" t="s">
        <v>5088</v>
      </c>
    </row>
    <row r="2603" spans="1:3" x14ac:dyDescent="0.25">
      <c r="A2603" t="str">
        <f>"811847"</f>
        <v>811847</v>
      </c>
      <c r="B2603" t="s">
        <v>5089</v>
      </c>
      <c r="C2603" t="s">
        <v>5090</v>
      </c>
    </row>
    <row r="2604" spans="1:3" x14ac:dyDescent="0.25">
      <c r="A2604" t="str">
        <f>"811848"</f>
        <v>811848</v>
      </c>
      <c r="B2604" t="s">
        <v>5091</v>
      </c>
      <c r="C2604" t="s">
        <v>5092</v>
      </c>
    </row>
    <row r="2605" spans="1:3" x14ac:dyDescent="0.25">
      <c r="A2605" t="str">
        <f>"03001 "</f>
        <v xml:space="preserve">03001 </v>
      </c>
      <c r="B2605" t="s">
        <v>5093</v>
      </c>
      <c r="C2605" t="s">
        <v>5094</v>
      </c>
    </row>
    <row r="2606" spans="1:3" x14ac:dyDescent="0.25">
      <c r="A2606" t="str">
        <f>"811849"</f>
        <v>811849</v>
      </c>
      <c r="B2606" t="s">
        <v>5095</v>
      </c>
      <c r="C2606" t="s">
        <v>5096</v>
      </c>
    </row>
    <row r="2607" spans="1:3" x14ac:dyDescent="0.25">
      <c r="A2607" t="str">
        <f>"764514"</f>
        <v>764514</v>
      </c>
      <c r="B2607" t="s">
        <v>5097</v>
      </c>
      <c r="C2607" t="s">
        <v>5098</v>
      </c>
    </row>
    <row r="2608" spans="1:3" x14ac:dyDescent="0.25">
      <c r="A2608" t="str">
        <f>"01FZ1 "</f>
        <v xml:space="preserve">01FZ1 </v>
      </c>
      <c r="B2608" t="s">
        <v>5099</v>
      </c>
      <c r="C2608" t="s">
        <v>5100</v>
      </c>
    </row>
    <row r="2609" spans="1:3" x14ac:dyDescent="0.25">
      <c r="A2609" t="str">
        <f>"MDCCB0"</f>
        <v>MDCCB0</v>
      </c>
      <c r="B2609" t="s">
        <v>5101</v>
      </c>
      <c r="C2609" t="s">
        <v>5102</v>
      </c>
    </row>
    <row r="2610" spans="1:3" x14ac:dyDescent="0.25">
      <c r="A2610" t="str">
        <f>"01FKP "</f>
        <v xml:space="preserve">01FKP </v>
      </c>
      <c r="B2610" t="s">
        <v>5103</v>
      </c>
      <c r="C2610" t="s">
        <v>5104</v>
      </c>
    </row>
    <row r="2611" spans="1:3" x14ac:dyDescent="0.25">
      <c r="A2611" t="str">
        <f>"761288"</f>
        <v>761288</v>
      </c>
      <c r="B2611" t="s">
        <v>5105</v>
      </c>
      <c r="C2611" t="s">
        <v>5106</v>
      </c>
    </row>
    <row r="2612" spans="1:3" x14ac:dyDescent="0.25">
      <c r="A2612" t="str">
        <f>"01GD1 "</f>
        <v xml:space="preserve">01GD1 </v>
      </c>
      <c r="B2612" t="s">
        <v>5107</v>
      </c>
      <c r="C2612" t="s">
        <v>5108</v>
      </c>
    </row>
    <row r="2613" spans="1:3" x14ac:dyDescent="0.25">
      <c r="A2613" t="str">
        <f>"761289"</f>
        <v>761289</v>
      </c>
      <c r="B2613" t="s">
        <v>5109</v>
      </c>
      <c r="C2613" t="s">
        <v>5110</v>
      </c>
    </row>
    <row r="2614" spans="1:3" x14ac:dyDescent="0.25">
      <c r="A2614" t="str">
        <f>"01F41 "</f>
        <v xml:space="preserve">01F41 </v>
      </c>
      <c r="B2614" t="s">
        <v>5111</v>
      </c>
      <c r="C2614" t="s">
        <v>5112</v>
      </c>
    </row>
    <row r="2615" spans="1:3" x14ac:dyDescent="0.25">
      <c r="A2615" t="str">
        <f>"01ESP "</f>
        <v xml:space="preserve">01ESP </v>
      </c>
      <c r="B2615" t="s">
        <v>5113</v>
      </c>
      <c r="C2615" t="s">
        <v>5114</v>
      </c>
    </row>
    <row r="2616" spans="1:3" x14ac:dyDescent="0.25">
      <c r="A2616" t="str">
        <f>"761290"</f>
        <v>761290</v>
      </c>
      <c r="B2616" t="s">
        <v>5115</v>
      </c>
      <c r="C2616" t="s">
        <v>5116</v>
      </c>
    </row>
    <row r="2617" spans="1:3" x14ac:dyDescent="0.25">
      <c r="A2617" t="str">
        <f>"761291"</f>
        <v>761291</v>
      </c>
      <c r="B2617" t="s">
        <v>5117</v>
      </c>
      <c r="C2617" t="s">
        <v>5118</v>
      </c>
    </row>
    <row r="2618" spans="1:3" x14ac:dyDescent="0.25">
      <c r="A2618" t="str">
        <f>"761292"</f>
        <v>761292</v>
      </c>
      <c r="B2618" t="s">
        <v>5119</v>
      </c>
      <c r="C2618" t="s">
        <v>5120</v>
      </c>
    </row>
    <row r="2619" spans="1:3" x14ac:dyDescent="0.25">
      <c r="A2619" t="str">
        <f>"762293"</f>
        <v>762293</v>
      </c>
      <c r="B2619" t="s">
        <v>5121</v>
      </c>
      <c r="C2619" t="s">
        <v>5122</v>
      </c>
    </row>
    <row r="2620" spans="1:3" x14ac:dyDescent="0.25">
      <c r="A2620" t="str">
        <f>"762294"</f>
        <v>762294</v>
      </c>
      <c r="B2620" t="s">
        <v>5123</v>
      </c>
      <c r="C2620" t="s">
        <v>5124</v>
      </c>
    </row>
    <row r="2621" spans="1:3" x14ac:dyDescent="0.25">
      <c r="A2621" t="str">
        <f>"01F21 "</f>
        <v xml:space="preserve">01F21 </v>
      </c>
      <c r="B2621" t="s">
        <v>5125</v>
      </c>
      <c r="C2621" t="s">
        <v>5126</v>
      </c>
    </row>
    <row r="2622" spans="1:3" x14ac:dyDescent="0.25">
      <c r="A2622" t="str">
        <f>"01F61 "</f>
        <v xml:space="preserve">01F61 </v>
      </c>
      <c r="B2622" t="s">
        <v>5127</v>
      </c>
      <c r="C2622" t="s">
        <v>5128</v>
      </c>
    </row>
    <row r="2623" spans="1:3" x14ac:dyDescent="0.25">
      <c r="A2623" t="str">
        <f>"01F71 "</f>
        <v xml:space="preserve">01F71 </v>
      </c>
      <c r="B2623" t="s">
        <v>5129</v>
      </c>
      <c r="C2623" t="s">
        <v>5130</v>
      </c>
    </row>
    <row r="2624" spans="1:3" x14ac:dyDescent="0.25">
      <c r="A2624" t="str">
        <f>"01F22 "</f>
        <v xml:space="preserve">01F22 </v>
      </c>
      <c r="B2624" t="s">
        <v>5131</v>
      </c>
      <c r="C2624" t="s">
        <v>5132</v>
      </c>
    </row>
    <row r="2625" spans="1:3" x14ac:dyDescent="0.25">
      <c r="A2625" t="str">
        <f>"01FY1 "</f>
        <v xml:space="preserve">01FY1 </v>
      </c>
      <c r="B2625" t="s">
        <v>5133</v>
      </c>
      <c r="C2625" t="s">
        <v>5134</v>
      </c>
    </row>
    <row r="2626" spans="1:3" x14ac:dyDescent="0.25">
      <c r="A2626" t="str">
        <f>"01F91 "</f>
        <v xml:space="preserve">01F91 </v>
      </c>
      <c r="B2626" t="s">
        <v>5135</v>
      </c>
      <c r="C2626" t="s">
        <v>5136</v>
      </c>
    </row>
    <row r="2627" spans="1:3" x14ac:dyDescent="0.25">
      <c r="A2627" t="str">
        <f>"01F92 "</f>
        <v xml:space="preserve">01F92 </v>
      </c>
      <c r="B2627" t="s">
        <v>5137</v>
      </c>
      <c r="C2627" t="s">
        <v>5138</v>
      </c>
    </row>
    <row r="2628" spans="1:3" x14ac:dyDescent="0.25">
      <c r="A2628" t="str">
        <f>"01GB1 "</f>
        <v xml:space="preserve">01GB1 </v>
      </c>
      <c r="B2628" t="s">
        <v>5139</v>
      </c>
      <c r="C2628" t="s">
        <v>5140</v>
      </c>
    </row>
    <row r="2629" spans="1:3" x14ac:dyDescent="0.25">
      <c r="A2629" t="str">
        <f>"01GA1 "</f>
        <v xml:space="preserve">01GA1 </v>
      </c>
      <c r="B2629" t="s">
        <v>5141</v>
      </c>
      <c r="C2629" t="s">
        <v>5142</v>
      </c>
    </row>
    <row r="2630" spans="1:3" x14ac:dyDescent="0.25">
      <c r="A2630" t="str">
        <f>"01FU1 "</f>
        <v xml:space="preserve">01FU1 </v>
      </c>
      <c r="B2630" t="s">
        <v>5143</v>
      </c>
      <c r="C2630" t="s">
        <v>5144</v>
      </c>
    </row>
    <row r="2631" spans="1:3" x14ac:dyDescent="0.25">
      <c r="A2631" t="str">
        <f>"761293"</f>
        <v>761293</v>
      </c>
      <c r="B2631" t="s">
        <v>5145</v>
      </c>
      <c r="C2631" t="s">
        <v>5146</v>
      </c>
    </row>
    <row r="2632" spans="1:3" x14ac:dyDescent="0.25">
      <c r="A2632" t="str">
        <f>"764515"</f>
        <v>764515</v>
      </c>
      <c r="B2632" t="s">
        <v>5147</v>
      </c>
      <c r="C2632" t="s">
        <v>5148</v>
      </c>
    </row>
    <row r="2633" spans="1:3" x14ac:dyDescent="0.25">
      <c r="A2633" t="str">
        <f>"81947 "</f>
        <v xml:space="preserve">81947 </v>
      </c>
      <c r="B2633" t="s">
        <v>5149</v>
      </c>
      <c r="C2633" t="s">
        <v>5150</v>
      </c>
    </row>
    <row r="2634" spans="1:3" x14ac:dyDescent="0.25">
      <c r="A2634" t="str">
        <f>"01F81 "</f>
        <v xml:space="preserve">01F81 </v>
      </c>
      <c r="B2634" t="s">
        <v>5151</v>
      </c>
      <c r="C2634" t="s">
        <v>5152</v>
      </c>
    </row>
    <row r="2635" spans="1:3" x14ac:dyDescent="0.25">
      <c r="A2635" t="str">
        <f>"01FB2 "</f>
        <v xml:space="preserve">01FB2 </v>
      </c>
      <c r="B2635" t="s">
        <v>5153</v>
      </c>
      <c r="C2635" t="s">
        <v>5154</v>
      </c>
    </row>
    <row r="2636" spans="1:3" x14ac:dyDescent="0.25">
      <c r="A2636" t="str">
        <f>"01GH1 "</f>
        <v xml:space="preserve">01GH1 </v>
      </c>
      <c r="B2636" t="s">
        <v>5155</v>
      </c>
      <c r="C2636" t="s">
        <v>5156</v>
      </c>
    </row>
    <row r="2637" spans="1:3" x14ac:dyDescent="0.25">
      <c r="A2637" t="str">
        <f>"81487 "</f>
        <v xml:space="preserve">81487 </v>
      </c>
      <c r="B2637" t="s">
        <v>5157</v>
      </c>
      <c r="C2637" t="s">
        <v>5158</v>
      </c>
    </row>
    <row r="2638" spans="1:3" x14ac:dyDescent="0.25">
      <c r="A2638" t="str">
        <f>"762295"</f>
        <v>762295</v>
      </c>
      <c r="B2638" t="s">
        <v>5159</v>
      </c>
      <c r="C2638" t="s">
        <v>5160</v>
      </c>
    </row>
    <row r="2639" spans="1:3" x14ac:dyDescent="0.25">
      <c r="A2639" t="str">
        <f>"764516"</f>
        <v>764516</v>
      </c>
      <c r="B2639" t="s">
        <v>5161</v>
      </c>
      <c r="C2639" t="s">
        <v>5162</v>
      </c>
    </row>
    <row r="2640" spans="1:3" x14ac:dyDescent="0.25">
      <c r="A2640" t="str">
        <f>"764517"</f>
        <v>764517</v>
      </c>
      <c r="B2640" t="s">
        <v>5163</v>
      </c>
      <c r="C2640" t="s">
        <v>5164</v>
      </c>
    </row>
    <row r="2641" spans="1:3" x14ac:dyDescent="0.25">
      <c r="A2641" t="str">
        <f>"764518"</f>
        <v>764518</v>
      </c>
      <c r="B2641" t="s">
        <v>5165</v>
      </c>
      <c r="C2641" t="s">
        <v>5166</v>
      </c>
    </row>
    <row r="2642" spans="1:3" x14ac:dyDescent="0.25">
      <c r="A2642" t="str">
        <f>"01GF1 "</f>
        <v xml:space="preserve">01GF1 </v>
      </c>
      <c r="B2642" t="s">
        <v>5167</v>
      </c>
      <c r="C2642" t="s">
        <v>5168</v>
      </c>
    </row>
    <row r="2643" spans="1:3" x14ac:dyDescent="0.25">
      <c r="A2643" t="str">
        <f>"01GG1 "</f>
        <v xml:space="preserve">01GG1 </v>
      </c>
      <c r="B2643" t="s">
        <v>5169</v>
      </c>
      <c r="C2643" t="s">
        <v>5170</v>
      </c>
    </row>
    <row r="2644" spans="1:3" x14ac:dyDescent="0.25">
      <c r="A2644" t="str">
        <f>"01GJ1 "</f>
        <v xml:space="preserve">01GJ1 </v>
      </c>
      <c r="B2644" t="s">
        <v>5171</v>
      </c>
      <c r="C2644" t="s">
        <v>5172</v>
      </c>
    </row>
    <row r="2645" spans="1:3" x14ac:dyDescent="0.25">
      <c r="A2645" t="str">
        <f>"01GK1 "</f>
        <v xml:space="preserve">01GK1 </v>
      </c>
      <c r="B2645" t="s">
        <v>5173</v>
      </c>
      <c r="C2645" t="s">
        <v>5174</v>
      </c>
    </row>
    <row r="2646" spans="1:3" x14ac:dyDescent="0.25">
      <c r="A2646" t="str">
        <f>"764519"</f>
        <v>764519</v>
      </c>
      <c r="B2646" t="s">
        <v>5175</v>
      </c>
      <c r="C2646" t="s">
        <v>5176</v>
      </c>
    </row>
    <row r="2647" spans="1:3" x14ac:dyDescent="0.25">
      <c r="A2647" t="str">
        <f>"88038 "</f>
        <v xml:space="preserve">88038 </v>
      </c>
      <c r="B2647" t="s">
        <v>5177</v>
      </c>
      <c r="C2647" t="s">
        <v>5178</v>
      </c>
    </row>
    <row r="2648" spans="1:3" x14ac:dyDescent="0.25">
      <c r="A2648" t="str">
        <f>"880211"</f>
        <v>880211</v>
      </c>
      <c r="B2648" t="s">
        <v>5179</v>
      </c>
      <c r="C2648" t="s">
        <v>5180</v>
      </c>
    </row>
    <row r="2649" spans="1:3" x14ac:dyDescent="0.25">
      <c r="A2649" t="str">
        <f>"764520"</f>
        <v>764520</v>
      </c>
      <c r="B2649" t="s">
        <v>5181</v>
      </c>
      <c r="C2649" t="s">
        <v>5182</v>
      </c>
    </row>
    <row r="2650" spans="1:3" x14ac:dyDescent="0.25">
      <c r="A2650" t="str">
        <f>"81112 "</f>
        <v xml:space="preserve">81112 </v>
      </c>
      <c r="B2650" t="s">
        <v>5183</v>
      </c>
      <c r="C2650" t="s">
        <v>5184</v>
      </c>
    </row>
    <row r="2651" spans="1:3" x14ac:dyDescent="0.25">
      <c r="A2651" t="str">
        <f>"01GI1 "</f>
        <v xml:space="preserve">01GI1 </v>
      </c>
      <c r="B2651" t="s">
        <v>5185</v>
      </c>
      <c r="C2651" t="s">
        <v>5186</v>
      </c>
    </row>
    <row r="2652" spans="1:3" x14ac:dyDescent="0.25">
      <c r="A2652" t="str">
        <f>"81487P"</f>
        <v>81487P</v>
      </c>
      <c r="B2652" t="s">
        <v>5187</v>
      </c>
      <c r="C2652" t="s">
        <v>5188</v>
      </c>
    </row>
    <row r="2653" spans="1:3" x14ac:dyDescent="0.25">
      <c r="A2653" t="str">
        <f>"81423 "</f>
        <v xml:space="preserve">81423 </v>
      </c>
      <c r="B2653" t="s">
        <v>5189</v>
      </c>
      <c r="C2653" t="s">
        <v>5190</v>
      </c>
    </row>
    <row r="2654" spans="1:3" x14ac:dyDescent="0.25">
      <c r="A2654" t="str">
        <f>"01F62 "</f>
        <v xml:space="preserve">01F62 </v>
      </c>
      <c r="B2654" t="s">
        <v>5191</v>
      </c>
      <c r="C2654" t="s">
        <v>5192</v>
      </c>
    </row>
    <row r="2655" spans="1:3" x14ac:dyDescent="0.25">
      <c r="A2655" t="str">
        <f>"81465 "</f>
        <v xml:space="preserve">81465 </v>
      </c>
      <c r="B2655" t="s">
        <v>5193</v>
      </c>
      <c r="C2655" t="s">
        <v>5194</v>
      </c>
    </row>
    <row r="2656" spans="1:3" x14ac:dyDescent="0.25">
      <c r="A2656" t="str">
        <f>"761294"</f>
        <v>761294</v>
      </c>
      <c r="B2656" t="s">
        <v>5195</v>
      </c>
      <c r="C2656" t="s">
        <v>5196</v>
      </c>
    </row>
    <row r="2657" spans="1:3" x14ac:dyDescent="0.25">
      <c r="A2657" t="str">
        <f>"01GN1 "</f>
        <v xml:space="preserve">01GN1 </v>
      </c>
      <c r="B2657" t="s">
        <v>5197</v>
      </c>
      <c r="C2657" t="s">
        <v>5198</v>
      </c>
    </row>
    <row r="2658" spans="1:3" x14ac:dyDescent="0.25">
      <c r="A2658" t="str">
        <f>"01GC1 "</f>
        <v xml:space="preserve">01GC1 </v>
      </c>
      <c r="B2658" t="s">
        <v>5199</v>
      </c>
      <c r="C2658" t="s">
        <v>5200</v>
      </c>
    </row>
    <row r="2659" spans="1:3" x14ac:dyDescent="0.25">
      <c r="A2659" t="str">
        <f>"764521"</f>
        <v>764521</v>
      </c>
      <c r="B2659" t="s">
        <v>5201</v>
      </c>
      <c r="C2659" t="s">
        <v>5202</v>
      </c>
    </row>
    <row r="2660" spans="1:3" x14ac:dyDescent="0.25">
      <c r="A2660" t="str">
        <f>"764522"</f>
        <v>764522</v>
      </c>
      <c r="B2660" t="s">
        <v>5203</v>
      </c>
      <c r="C2660" t="s">
        <v>5204</v>
      </c>
    </row>
    <row r="2661" spans="1:3" x14ac:dyDescent="0.25">
      <c r="A2661" t="str">
        <f>"764524"</f>
        <v>764524</v>
      </c>
      <c r="B2661" t="s">
        <v>5205</v>
      </c>
      <c r="C2661" t="s">
        <v>5206</v>
      </c>
    </row>
    <row r="2662" spans="1:3" x14ac:dyDescent="0.25">
      <c r="A2662" t="str">
        <f>"764523"</f>
        <v>764523</v>
      </c>
      <c r="B2662" t="s">
        <v>5207</v>
      </c>
      <c r="C2662" t="s">
        <v>5208</v>
      </c>
    </row>
    <row r="2663" spans="1:3" x14ac:dyDescent="0.25">
      <c r="A2663" t="str">
        <f>"761295"</f>
        <v>761295</v>
      </c>
      <c r="B2663" t="s">
        <v>5209</v>
      </c>
      <c r="C2663" t="s">
        <v>5210</v>
      </c>
    </row>
    <row r="2664" spans="1:3" x14ac:dyDescent="0.25">
      <c r="A2664" t="str">
        <f>"761296"</f>
        <v>761296</v>
      </c>
      <c r="B2664" t="s">
        <v>5211</v>
      </c>
      <c r="C2664" t="s">
        <v>5212</v>
      </c>
    </row>
    <row r="2665" spans="1:3" x14ac:dyDescent="0.25">
      <c r="A2665" t="str">
        <f>"81272 "</f>
        <v xml:space="preserve">81272 </v>
      </c>
      <c r="B2665" t="s">
        <v>5213</v>
      </c>
      <c r="C2665" t="s">
        <v>5214</v>
      </c>
    </row>
    <row r="2666" spans="1:3" x14ac:dyDescent="0.25">
      <c r="A2666" t="str">
        <f>"81282 "</f>
        <v xml:space="preserve">81282 </v>
      </c>
      <c r="B2666" t="s">
        <v>5215</v>
      </c>
      <c r="C2666" t="s">
        <v>5216</v>
      </c>
    </row>
    <row r="2667" spans="1:3" x14ac:dyDescent="0.25">
      <c r="A2667" t="str">
        <f>"81312 "</f>
        <v xml:space="preserve">81312 </v>
      </c>
      <c r="B2667" t="s">
        <v>5217</v>
      </c>
      <c r="C2667" t="s">
        <v>5218</v>
      </c>
    </row>
    <row r="2668" spans="1:3" x14ac:dyDescent="0.25">
      <c r="A2668" t="str">
        <f>"01GS1 "</f>
        <v xml:space="preserve">01GS1 </v>
      </c>
      <c r="B2668" t="s">
        <v>5219</v>
      </c>
      <c r="C2668" t="s">
        <v>5220</v>
      </c>
    </row>
    <row r="2669" spans="1:3" x14ac:dyDescent="0.25">
      <c r="A2669" t="str">
        <f>"762296"</f>
        <v>762296</v>
      </c>
      <c r="B2669" t="s">
        <v>5221</v>
      </c>
      <c r="C2669" t="s">
        <v>5222</v>
      </c>
    </row>
    <row r="2670" spans="1:3" x14ac:dyDescent="0.25">
      <c r="A2670" t="str">
        <f>"761297"</f>
        <v>761297</v>
      </c>
      <c r="B2670" t="s">
        <v>5223</v>
      </c>
      <c r="C2670" t="s">
        <v>5224</v>
      </c>
    </row>
    <row r="2671" spans="1:3" x14ac:dyDescent="0.25">
      <c r="A2671" t="str">
        <f>"762297"</f>
        <v>762297</v>
      </c>
      <c r="B2671" t="s">
        <v>5225</v>
      </c>
      <c r="C2671" t="s">
        <v>5226</v>
      </c>
    </row>
    <row r="2672" spans="1:3" x14ac:dyDescent="0.25">
      <c r="A2672" t="str">
        <f>"01GTP "</f>
        <v xml:space="preserve">01GTP </v>
      </c>
      <c r="B2672" t="s">
        <v>5227</v>
      </c>
      <c r="C2672" t="s">
        <v>5228</v>
      </c>
    </row>
    <row r="2673" spans="1:3" x14ac:dyDescent="0.25">
      <c r="A2673" t="str">
        <f>"01GT1 "</f>
        <v xml:space="preserve">01GT1 </v>
      </c>
      <c r="B2673" t="s">
        <v>5229</v>
      </c>
      <c r="C2673" t="s">
        <v>5230</v>
      </c>
    </row>
    <row r="2674" spans="1:3" x14ac:dyDescent="0.25">
      <c r="A2674" t="str">
        <f>"01GQ1 "</f>
        <v xml:space="preserve">01GQ1 </v>
      </c>
      <c r="B2674" t="s">
        <v>5231</v>
      </c>
      <c r="C2674" t="s">
        <v>5232</v>
      </c>
    </row>
    <row r="2675" spans="1:3" x14ac:dyDescent="0.25">
      <c r="A2675" t="str">
        <f>"01GO1 "</f>
        <v xml:space="preserve">01GO1 </v>
      </c>
      <c r="B2675" t="s">
        <v>5233</v>
      </c>
      <c r="C2675" t="s">
        <v>5234</v>
      </c>
    </row>
    <row r="2676" spans="1:3" x14ac:dyDescent="0.25">
      <c r="A2676" t="str">
        <f>"01GO2 "</f>
        <v xml:space="preserve">01GO2 </v>
      </c>
      <c r="B2676" t="s">
        <v>5235</v>
      </c>
      <c r="C2676" t="s">
        <v>5236</v>
      </c>
    </row>
    <row r="2677" spans="1:3" x14ac:dyDescent="0.25">
      <c r="A2677" t="str">
        <f>"01F31 "</f>
        <v xml:space="preserve">01F31 </v>
      </c>
      <c r="B2677" t="s">
        <v>5237</v>
      </c>
      <c r="C2677" t="s">
        <v>5238</v>
      </c>
    </row>
    <row r="2678" spans="1:3" x14ac:dyDescent="0.25">
      <c r="A2678" t="str">
        <f>"764525"</f>
        <v>764525</v>
      </c>
      <c r="B2678" t="s">
        <v>5239</v>
      </c>
      <c r="C2678" t="s">
        <v>5240</v>
      </c>
    </row>
    <row r="2679" spans="1:3" x14ac:dyDescent="0.25">
      <c r="A2679" t="str">
        <f>"01G61 "</f>
        <v xml:space="preserve">01G61 </v>
      </c>
      <c r="B2679" t="s">
        <v>5241</v>
      </c>
      <c r="C2679" t="s">
        <v>5242</v>
      </c>
    </row>
    <row r="2680" spans="1:3" x14ac:dyDescent="0.25">
      <c r="A2680" t="str">
        <f>"763195"</f>
        <v>763195</v>
      </c>
      <c r="B2680" t="s">
        <v>5243</v>
      </c>
      <c r="C2680" t="s">
        <v>5244</v>
      </c>
    </row>
    <row r="2681" spans="1:3" x14ac:dyDescent="0.25">
      <c r="A2681" t="str">
        <f>"761300"</f>
        <v>761300</v>
      </c>
      <c r="B2681" t="s">
        <v>5245</v>
      </c>
      <c r="C2681" t="s">
        <v>5246</v>
      </c>
    </row>
    <row r="2682" spans="1:3" x14ac:dyDescent="0.25">
      <c r="A2682" t="str">
        <f>"762298"</f>
        <v>762298</v>
      </c>
      <c r="B2682" t="s">
        <v>5247</v>
      </c>
      <c r="C2682" t="s">
        <v>5248</v>
      </c>
    </row>
    <row r="2683" spans="1:3" x14ac:dyDescent="0.25">
      <c r="A2683" t="str">
        <f>"761299"</f>
        <v>761299</v>
      </c>
      <c r="B2683" t="s">
        <v>5249</v>
      </c>
      <c r="C2683" t="s">
        <v>5250</v>
      </c>
    </row>
    <row r="2684" spans="1:3" x14ac:dyDescent="0.25">
      <c r="A2684" t="str">
        <f>"761298"</f>
        <v>761298</v>
      </c>
      <c r="B2684" t="s">
        <v>5251</v>
      </c>
      <c r="C2684" t="s">
        <v>5252</v>
      </c>
    </row>
    <row r="2685" spans="1:3" x14ac:dyDescent="0.25">
      <c r="A2685" t="str">
        <f>"01GW1 "</f>
        <v xml:space="preserve">01GW1 </v>
      </c>
      <c r="B2685" t="s">
        <v>5253</v>
      </c>
      <c r="C2685" t="s">
        <v>5254</v>
      </c>
    </row>
    <row r="2686" spans="1:3" x14ac:dyDescent="0.25">
      <c r="A2686" t="str">
        <f>"01GW2 "</f>
        <v xml:space="preserve">01GW2 </v>
      </c>
      <c r="B2686" t="s">
        <v>5255</v>
      </c>
      <c r="C2686" t="s">
        <v>5256</v>
      </c>
    </row>
    <row r="2687" spans="1:3" x14ac:dyDescent="0.25">
      <c r="A2687" t="str">
        <f>"01GM1 "</f>
        <v xml:space="preserve">01GM1 </v>
      </c>
      <c r="B2687" t="s">
        <v>5257</v>
      </c>
      <c r="C2687" t="s">
        <v>5258</v>
      </c>
    </row>
    <row r="2688" spans="1:3" x14ac:dyDescent="0.25">
      <c r="A2688" t="str">
        <f>"01GM2 "</f>
        <v xml:space="preserve">01GM2 </v>
      </c>
      <c r="B2688" t="s">
        <v>5259</v>
      </c>
      <c r="C2688" t="s">
        <v>5260</v>
      </c>
    </row>
    <row r="2689" spans="1:3" x14ac:dyDescent="0.25">
      <c r="A2689" t="str">
        <f>"01GX1 "</f>
        <v xml:space="preserve">01GX1 </v>
      </c>
      <c r="B2689" t="s">
        <v>5261</v>
      </c>
      <c r="C2689" t="s">
        <v>5262</v>
      </c>
    </row>
    <row r="2690" spans="1:3" x14ac:dyDescent="0.25">
      <c r="A2690" t="str">
        <f>"01GX2 "</f>
        <v xml:space="preserve">01GX2 </v>
      </c>
      <c r="B2690" t="s">
        <v>5263</v>
      </c>
      <c r="C2690" t="s">
        <v>5264</v>
      </c>
    </row>
    <row r="2691" spans="1:3" x14ac:dyDescent="0.25">
      <c r="A2691" t="str">
        <f>"01EM2 "</f>
        <v xml:space="preserve">01EM2 </v>
      </c>
      <c r="B2691" t="s">
        <v>5265</v>
      </c>
      <c r="C2691" t="s">
        <v>5266</v>
      </c>
    </row>
    <row r="2692" spans="1:3" x14ac:dyDescent="0.25">
      <c r="A2692" t="str">
        <f>"01GR1 "</f>
        <v xml:space="preserve">01GR1 </v>
      </c>
      <c r="B2692" t="s">
        <v>5267</v>
      </c>
      <c r="C2692" t="s">
        <v>5268</v>
      </c>
    </row>
    <row r="2693" spans="1:3" x14ac:dyDescent="0.25">
      <c r="A2693" t="str">
        <f>"764526"</f>
        <v>764526</v>
      </c>
      <c r="B2693" t="s">
        <v>5269</v>
      </c>
      <c r="C2693" t="s">
        <v>5270</v>
      </c>
    </row>
    <row r="2694" spans="1:3" x14ac:dyDescent="0.25">
      <c r="A2694" t="str">
        <f>"764527"</f>
        <v>764527</v>
      </c>
      <c r="B2694" t="s">
        <v>5271</v>
      </c>
      <c r="C2694" t="s">
        <v>5272</v>
      </c>
    </row>
    <row r="2695" spans="1:3" x14ac:dyDescent="0.25">
      <c r="A2695" t="str">
        <f>"01G51 "</f>
        <v xml:space="preserve">01G51 </v>
      </c>
      <c r="B2695" t="s">
        <v>5273</v>
      </c>
      <c r="C2695" t="s">
        <v>5274</v>
      </c>
    </row>
    <row r="2696" spans="1:3" x14ac:dyDescent="0.25">
      <c r="A2696" t="str">
        <f>"01EM2P"</f>
        <v>01EM2P</v>
      </c>
      <c r="B2696" t="s">
        <v>5275</v>
      </c>
      <c r="C2696" t="s">
        <v>5276</v>
      </c>
    </row>
    <row r="2697" spans="1:3" x14ac:dyDescent="0.25">
      <c r="A2697" t="str">
        <f>"01G21 "</f>
        <v xml:space="preserve">01G21 </v>
      </c>
      <c r="B2697" t="s">
        <v>5277</v>
      </c>
      <c r="C2697" t="s">
        <v>5278</v>
      </c>
    </row>
    <row r="2698" spans="1:3" x14ac:dyDescent="0.25">
      <c r="A2698" t="str">
        <f>"01G22 "</f>
        <v xml:space="preserve">01G22 </v>
      </c>
      <c r="B2698" t="s">
        <v>5279</v>
      </c>
      <c r="C2698" t="s">
        <v>5280</v>
      </c>
    </row>
    <row r="2699" spans="1:3" x14ac:dyDescent="0.25">
      <c r="A2699" t="str">
        <f>"01G23 "</f>
        <v xml:space="preserve">01G23 </v>
      </c>
      <c r="B2699" t="s">
        <v>5281</v>
      </c>
      <c r="C2699" t="s">
        <v>5282</v>
      </c>
    </row>
    <row r="2700" spans="1:3" x14ac:dyDescent="0.25">
      <c r="A2700" t="str">
        <f>"01G24 "</f>
        <v xml:space="preserve">01G24 </v>
      </c>
      <c r="B2700" t="s">
        <v>5283</v>
      </c>
      <c r="C2700" t="s">
        <v>5284</v>
      </c>
    </row>
    <row r="2701" spans="1:3" x14ac:dyDescent="0.25">
      <c r="A2701" t="str">
        <f>"01EF6 "</f>
        <v xml:space="preserve">01EF6 </v>
      </c>
      <c r="B2701" t="s">
        <v>5285</v>
      </c>
      <c r="C2701" t="s">
        <v>5286</v>
      </c>
    </row>
    <row r="2702" spans="1:3" x14ac:dyDescent="0.25">
      <c r="A2702" t="str">
        <f>"762299"</f>
        <v>762299</v>
      </c>
      <c r="B2702" t="s">
        <v>5287</v>
      </c>
      <c r="C2702" t="s">
        <v>5288</v>
      </c>
    </row>
    <row r="2703" spans="1:3" x14ac:dyDescent="0.25">
      <c r="A2703" t="str">
        <f>"763196"</f>
        <v>763196</v>
      </c>
      <c r="B2703" t="s">
        <v>5289</v>
      </c>
      <c r="C2703" t="s">
        <v>5290</v>
      </c>
    </row>
    <row r="2704" spans="1:3" x14ac:dyDescent="0.25">
      <c r="A2704" t="str">
        <f>"8187P "</f>
        <v xml:space="preserve">8187P </v>
      </c>
      <c r="B2704" t="s">
        <v>5291</v>
      </c>
      <c r="C2704" t="s">
        <v>5292</v>
      </c>
    </row>
    <row r="2705" spans="1:3" x14ac:dyDescent="0.25">
      <c r="A2705" t="str">
        <f>"76800P"</f>
        <v>76800P</v>
      </c>
      <c r="B2705" t="s">
        <v>5293</v>
      </c>
      <c r="C2705" t="s">
        <v>5294</v>
      </c>
    </row>
    <row r="2706" spans="1:3" x14ac:dyDescent="0.25">
      <c r="A2706" t="str">
        <f>"01GV1 "</f>
        <v xml:space="preserve">01GV1 </v>
      </c>
      <c r="B2706" t="s">
        <v>5295</v>
      </c>
      <c r="C2706" t="s">
        <v>5296</v>
      </c>
    </row>
    <row r="2707" spans="1:3" x14ac:dyDescent="0.25">
      <c r="A2707" t="str">
        <f>"01F51 "</f>
        <v xml:space="preserve">01F51 </v>
      </c>
      <c r="B2707" t="s">
        <v>5297</v>
      </c>
      <c r="C2707" t="s">
        <v>5298</v>
      </c>
    </row>
    <row r="2708" spans="1:3" x14ac:dyDescent="0.25">
      <c r="A2708" t="str">
        <f>"01GU1 "</f>
        <v xml:space="preserve">01GU1 </v>
      </c>
      <c r="B2708" t="s">
        <v>5299</v>
      </c>
      <c r="C2708" t="s">
        <v>5300</v>
      </c>
    </row>
    <row r="2709" spans="1:3" x14ac:dyDescent="0.25">
      <c r="A2709" t="str">
        <f>"768007"</f>
        <v>768007</v>
      </c>
      <c r="B2709" t="s">
        <v>5301</v>
      </c>
      <c r="C2709" t="s">
        <v>5302</v>
      </c>
    </row>
    <row r="2710" spans="1:3" x14ac:dyDescent="0.25">
      <c r="A2710" t="str">
        <f>"01G41 "</f>
        <v xml:space="preserve">01G41 </v>
      </c>
      <c r="B2710" t="s">
        <v>5303</v>
      </c>
      <c r="C2710" t="s">
        <v>5304</v>
      </c>
    </row>
    <row r="2711" spans="1:3" x14ac:dyDescent="0.25">
      <c r="A2711" t="str">
        <f>"01G42 "</f>
        <v xml:space="preserve">01G42 </v>
      </c>
      <c r="B2711" t="s">
        <v>5305</v>
      </c>
      <c r="C2711" t="s">
        <v>5306</v>
      </c>
    </row>
    <row r="2712" spans="1:3" x14ac:dyDescent="0.25">
      <c r="A2712" t="str">
        <f>"01G31 "</f>
        <v xml:space="preserve">01G31 </v>
      </c>
      <c r="B2712" t="s">
        <v>5307</v>
      </c>
      <c r="C2712" t="s">
        <v>5308</v>
      </c>
    </row>
    <row r="2713" spans="1:3" x14ac:dyDescent="0.25">
      <c r="A2713" t="str">
        <f>"01G11 "</f>
        <v xml:space="preserve">01G11 </v>
      </c>
      <c r="B2713" t="s">
        <v>5309</v>
      </c>
      <c r="C2713" t="s">
        <v>5310</v>
      </c>
    </row>
    <row r="2714" spans="1:3" x14ac:dyDescent="0.25">
      <c r="A2714" t="str">
        <f>"01G12 "</f>
        <v xml:space="preserve">01G12 </v>
      </c>
      <c r="B2714" t="s">
        <v>5311</v>
      </c>
      <c r="C2714" t="s">
        <v>5312</v>
      </c>
    </row>
    <row r="2715" spans="1:3" x14ac:dyDescent="0.25">
      <c r="A2715" t="str">
        <f>"815317"</f>
        <v>815317</v>
      </c>
      <c r="B2715" t="s">
        <v>5313</v>
      </c>
      <c r="C2715" t="s">
        <v>5314</v>
      </c>
    </row>
    <row r="2716" spans="1:3" x14ac:dyDescent="0.25">
      <c r="A2716" t="str">
        <f>"761301"</f>
        <v>761301</v>
      </c>
      <c r="B2716" t="s">
        <v>5315</v>
      </c>
      <c r="C2716" t="s">
        <v>5316</v>
      </c>
    </row>
    <row r="2717" spans="1:3" x14ac:dyDescent="0.25">
      <c r="A2717" t="str">
        <f>"764528"</f>
        <v>764528</v>
      </c>
      <c r="B2717" t="s">
        <v>5317</v>
      </c>
      <c r="C2717" t="s">
        <v>5318</v>
      </c>
    </row>
    <row r="2718" spans="1:3" x14ac:dyDescent="0.25">
      <c r="A2718" t="str">
        <f>"01HG1 "</f>
        <v xml:space="preserve">01HG1 </v>
      </c>
      <c r="B2718" t="s">
        <v>5319</v>
      </c>
      <c r="C2718" t="s">
        <v>5320</v>
      </c>
    </row>
    <row r="2719" spans="1:3" x14ac:dyDescent="0.25">
      <c r="A2719" t="str">
        <f>"81876 "</f>
        <v xml:space="preserve">81876 </v>
      </c>
      <c r="B2719" t="s">
        <v>5321</v>
      </c>
      <c r="C2719" t="s">
        <v>5322</v>
      </c>
    </row>
    <row r="2720" spans="1:3" x14ac:dyDescent="0.25">
      <c r="A2720" t="str">
        <f>"764529"</f>
        <v>764529</v>
      </c>
      <c r="B2720" t="s">
        <v>5323</v>
      </c>
      <c r="C2720" t="s">
        <v>5324</v>
      </c>
    </row>
    <row r="2721" spans="1:3" x14ac:dyDescent="0.25">
      <c r="A2721" t="str">
        <f>"763197"</f>
        <v>763197</v>
      </c>
      <c r="B2721" t="s">
        <v>5325</v>
      </c>
      <c r="C2721" t="s">
        <v>5326</v>
      </c>
    </row>
    <row r="2722" spans="1:3" x14ac:dyDescent="0.25">
      <c r="A2722" t="str">
        <f>"762300"</f>
        <v>762300</v>
      </c>
      <c r="B2722" t="s">
        <v>5327</v>
      </c>
      <c r="C2722" t="s">
        <v>5328</v>
      </c>
    </row>
    <row r="2723" spans="1:3" x14ac:dyDescent="0.25">
      <c r="A2723" t="str">
        <f>"01G81 "</f>
        <v xml:space="preserve">01G81 </v>
      </c>
      <c r="B2723" t="s">
        <v>5329</v>
      </c>
      <c r="C2723" t="s">
        <v>5330</v>
      </c>
    </row>
    <row r="2724" spans="1:3" x14ac:dyDescent="0.25">
      <c r="A2724" t="str">
        <f>"01G82 "</f>
        <v xml:space="preserve">01G82 </v>
      </c>
      <c r="B2724" t="s">
        <v>5331</v>
      </c>
      <c r="C2724" t="s">
        <v>5332</v>
      </c>
    </row>
    <row r="2725" spans="1:3" x14ac:dyDescent="0.25">
      <c r="A2725" t="str">
        <f>"01HA1 "</f>
        <v xml:space="preserve">01HA1 </v>
      </c>
      <c r="B2725" t="s">
        <v>5333</v>
      </c>
      <c r="C2725" t="s">
        <v>5334</v>
      </c>
    </row>
    <row r="2726" spans="1:3" x14ac:dyDescent="0.25">
      <c r="A2726" t="str">
        <f>"01HA2 "</f>
        <v xml:space="preserve">01HA2 </v>
      </c>
      <c r="B2726" t="s">
        <v>5335</v>
      </c>
      <c r="C2726" t="s">
        <v>5336</v>
      </c>
    </row>
    <row r="2727" spans="1:3" x14ac:dyDescent="0.25">
      <c r="A2727" t="str">
        <f>"01G91 "</f>
        <v xml:space="preserve">01G91 </v>
      </c>
      <c r="B2727" t="s">
        <v>5337</v>
      </c>
      <c r="C2727" t="s">
        <v>5338</v>
      </c>
    </row>
    <row r="2728" spans="1:3" x14ac:dyDescent="0.25">
      <c r="A2728" t="str">
        <f>"01G92 "</f>
        <v xml:space="preserve">01G92 </v>
      </c>
      <c r="B2728" t="s">
        <v>5339</v>
      </c>
      <c r="C2728" t="s">
        <v>5340</v>
      </c>
    </row>
    <row r="2729" spans="1:3" x14ac:dyDescent="0.25">
      <c r="A2729" t="str">
        <f>"01HB1 "</f>
        <v xml:space="preserve">01HB1 </v>
      </c>
      <c r="B2729" t="s">
        <v>5341</v>
      </c>
      <c r="C2729" t="s">
        <v>5342</v>
      </c>
    </row>
    <row r="2730" spans="1:3" x14ac:dyDescent="0.25">
      <c r="A2730" t="str">
        <f>"01HB2 "</f>
        <v xml:space="preserve">01HB2 </v>
      </c>
      <c r="B2730" t="s">
        <v>5343</v>
      </c>
      <c r="C2730" t="s">
        <v>5344</v>
      </c>
    </row>
    <row r="2731" spans="1:3" x14ac:dyDescent="0.25">
      <c r="A2731" t="str">
        <f>"01HE1 "</f>
        <v xml:space="preserve">01HE1 </v>
      </c>
      <c r="B2731" t="s">
        <v>5345</v>
      </c>
      <c r="C2731" t="s">
        <v>5346</v>
      </c>
    </row>
    <row r="2732" spans="1:3" x14ac:dyDescent="0.25">
      <c r="A2732" t="str">
        <f>"01HF1 "</f>
        <v xml:space="preserve">01HF1 </v>
      </c>
      <c r="B2732" t="s">
        <v>5347</v>
      </c>
      <c r="C2732" t="s">
        <v>5348</v>
      </c>
    </row>
    <row r="2733" spans="1:3" x14ac:dyDescent="0.25">
      <c r="A2733" t="str">
        <f>"764530"</f>
        <v>764530</v>
      </c>
      <c r="B2733" t="s">
        <v>5349</v>
      </c>
      <c r="C2733" t="s">
        <v>5350</v>
      </c>
    </row>
    <row r="2734" spans="1:3" x14ac:dyDescent="0.25">
      <c r="A2734" t="str">
        <f>"01HJ1 "</f>
        <v xml:space="preserve">01HJ1 </v>
      </c>
      <c r="B2734" t="s">
        <v>5351</v>
      </c>
      <c r="C2734" t="s">
        <v>5352</v>
      </c>
    </row>
    <row r="2735" spans="1:3" x14ac:dyDescent="0.25">
      <c r="A2735" t="str">
        <f>"01HI1 "</f>
        <v xml:space="preserve">01HI1 </v>
      </c>
      <c r="B2735" t="s">
        <v>5353</v>
      </c>
      <c r="C2735" t="s">
        <v>5354</v>
      </c>
    </row>
    <row r="2736" spans="1:3" x14ac:dyDescent="0.25">
      <c r="A2736" t="str">
        <f>"01HK1 "</f>
        <v xml:space="preserve">01HK1 </v>
      </c>
      <c r="B2736" t="s">
        <v>5355</v>
      </c>
      <c r="C2736" t="s">
        <v>5356</v>
      </c>
    </row>
    <row r="2737" spans="1:3" x14ac:dyDescent="0.25">
      <c r="A2737" t="str">
        <f>"01HC1 "</f>
        <v xml:space="preserve">01HC1 </v>
      </c>
      <c r="B2737" t="s">
        <v>5357</v>
      </c>
      <c r="C2737" t="s">
        <v>5358</v>
      </c>
    </row>
    <row r="2738" spans="1:3" x14ac:dyDescent="0.25">
      <c r="A2738" t="str">
        <f>"01G71 "</f>
        <v xml:space="preserve">01G71 </v>
      </c>
      <c r="B2738" t="s">
        <v>5359</v>
      </c>
      <c r="C2738" t="s">
        <v>5360</v>
      </c>
    </row>
    <row r="2739" spans="1:3" x14ac:dyDescent="0.25">
      <c r="A2739" t="str">
        <f>"01HQ1 "</f>
        <v xml:space="preserve">01HQ1 </v>
      </c>
      <c r="B2739" t="s">
        <v>5361</v>
      </c>
      <c r="C2739" t="s">
        <v>5362</v>
      </c>
    </row>
    <row r="2740" spans="1:3" x14ac:dyDescent="0.25">
      <c r="A2740" t="str">
        <f>"01HD1 "</f>
        <v xml:space="preserve">01HD1 </v>
      </c>
      <c r="B2740" t="s">
        <v>5363</v>
      </c>
      <c r="C2740" t="s">
        <v>5364</v>
      </c>
    </row>
    <row r="2741" spans="1:3" x14ac:dyDescent="0.25">
      <c r="A2741" t="str">
        <f>"01HR1 "</f>
        <v xml:space="preserve">01HR1 </v>
      </c>
      <c r="B2741" t="s">
        <v>5365</v>
      </c>
      <c r="C2741" t="s">
        <v>5366</v>
      </c>
    </row>
    <row r="2742" spans="1:3" x14ac:dyDescent="0.25">
      <c r="A2742" t="str">
        <f>"763198"</f>
        <v>763198</v>
      </c>
      <c r="B2742" t="s">
        <v>5367</v>
      </c>
      <c r="C2742" t="s">
        <v>5368</v>
      </c>
    </row>
    <row r="2743" spans="1:3" x14ac:dyDescent="0.25">
      <c r="A2743" t="str">
        <f>"01FK2 "</f>
        <v xml:space="preserve">01FK2 </v>
      </c>
      <c r="B2743" t="s">
        <v>5369</v>
      </c>
      <c r="C2743" t="s">
        <v>5370</v>
      </c>
    </row>
    <row r="2744" spans="1:3" x14ac:dyDescent="0.25">
      <c r="A2744" t="str">
        <f>"02004 "</f>
        <v xml:space="preserve">02004 </v>
      </c>
      <c r="B2744" t="s">
        <v>5371</v>
      </c>
      <c r="C2744" t="s">
        <v>5372</v>
      </c>
    </row>
    <row r="2745" spans="1:3" x14ac:dyDescent="0.25">
      <c r="A2745" t="str">
        <f>"02005 "</f>
        <v xml:space="preserve">02005 </v>
      </c>
      <c r="B2745" t="s">
        <v>5373</v>
      </c>
      <c r="C2745" t="s">
        <v>5374</v>
      </c>
    </row>
    <row r="2746" spans="1:3" x14ac:dyDescent="0.25">
      <c r="A2746" t="str">
        <f>"764531"</f>
        <v>764531</v>
      </c>
      <c r="B2746" t="s">
        <v>5375</v>
      </c>
      <c r="C2746" t="s">
        <v>5376</v>
      </c>
    </row>
    <row r="2747" spans="1:3" x14ac:dyDescent="0.25">
      <c r="A2747" t="str">
        <f>"762301"</f>
        <v>762301</v>
      </c>
      <c r="B2747" t="s">
        <v>5377</v>
      </c>
      <c r="C2747" t="s">
        <v>5378</v>
      </c>
    </row>
    <row r="2748" spans="1:3" x14ac:dyDescent="0.25">
      <c r="A2748" t="str">
        <f>"01HY1 "</f>
        <v xml:space="preserve">01HY1 </v>
      </c>
      <c r="B2748" t="s">
        <v>5379</v>
      </c>
      <c r="C2748" t="s">
        <v>5380</v>
      </c>
    </row>
    <row r="2749" spans="1:3" x14ac:dyDescent="0.25">
      <c r="A2749" t="str">
        <f>"01HU1 "</f>
        <v xml:space="preserve">01HU1 </v>
      </c>
      <c r="B2749" t="s">
        <v>5381</v>
      </c>
      <c r="C2749" t="s">
        <v>5382</v>
      </c>
    </row>
    <row r="2750" spans="1:3" x14ac:dyDescent="0.25">
      <c r="A2750" t="str">
        <f>"764532"</f>
        <v>764532</v>
      </c>
      <c r="B2750" t="s">
        <v>5383</v>
      </c>
      <c r="C2750" t="s">
        <v>5384</v>
      </c>
    </row>
    <row r="2751" spans="1:3" x14ac:dyDescent="0.25">
      <c r="A2751" t="str">
        <f>"764533"</f>
        <v>764533</v>
      </c>
      <c r="B2751" t="s">
        <v>5385</v>
      </c>
      <c r="C2751" t="s">
        <v>5386</v>
      </c>
    </row>
    <row r="2752" spans="1:3" x14ac:dyDescent="0.25">
      <c r="A2752" t="str">
        <f>"762302"</f>
        <v>762302</v>
      </c>
      <c r="B2752" t="s">
        <v>5387</v>
      </c>
      <c r="C2752" t="s">
        <v>5388</v>
      </c>
    </row>
    <row r="2753" spans="1:3" x14ac:dyDescent="0.25">
      <c r="A2753" t="str">
        <f>"762303"</f>
        <v>762303</v>
      </c>
      <c r="B2753" t="s">
        <v>5389</v>
      </c>
      <c r="C2753" t="s">
        <v>5390</v>
      </c>
    </row>
    <row r="2754" spans="1:3" x14ac:dyDescent="0.25">
      <c r="A2754" t="str">
        <f>"01H11 "</f>
        <v xml:space="preserve">01H11 </v>
      </c>
      <c r="B2754" t="s">
        <v>5391</v>
      </c>
      <c r="C2754" t="s">
        <v>5392</v>
      </c>
    </row>
    <row r="2755" spans="1:3" x14ac:dyDescent="0.25">
      <c r="A2755" t="str">
        <f>"01H21 "</f>
        <v xml:space="preserve">01H21 </v>
      </c>
      <c r="B2755" t="s">
        <v>5393</v>
      </c>
      <c r="C2755" t="s">
        <v>5394</v>
      </c>
    </row>
    <row r="2756" spans="1:3" x14ac:dyDescent="0.25">
      <c r="A2756" t="str">
        <f>"764536"</f>
        <v>764536</v>
      </c>
      <c r="B2756" t="s">
        <v>5395</v>
      </c>
      <c r="C2756" t="s">
        <v>5396</v>
      </c>
    </row>
    <row r="2757" spans="1:3" x14ac:dyDescent="0.25">
      <c r="A2757" t="str">
        <f>"89451 "</f>
        <v xml:space="preserve">89451 </v>
      </c>
      <c r="B2757" t="s">
        <v>5397</v>
      </c>
      <c r="C2757" t="s">
        <v>5398</v>
      </c>
    </row>
    <row r="2758" spans="1:3" x14ac:dyDescent="0.25">
      <c r="A2758" t="str">
        <f>"81012 "</f>
        <v xml:space="preserve">81012 </v>
      </c>
      <c r="B2758" t="s">
        <v>5399</v>
      </c>
      <c r="C2758" t="s">
        <v>5400</v>
      </c>
    </row>
    <row r="2759" spans="1:3" x14ac:dyDescent="0.25">
      <c r="A2759" t="str">
        <f>"81013 "</f>
        <v xml:space="preserve">81013 </v>
      </c>
      <c r="B2759" t="s">
        <v>5401</v>
      </c>
      <c r="C2759" t="s">
        <v>5402</v>
      </c>
    </row>
    <row r="2760" spans="1:3" x14ac:dyDescent="0.25">
      <c r="A2760" t="str">
        <f>"764537"</f>
        <v>764537</v>
      </c>
      <c r="B2760" t="s">
        <v>5403</v>
      </c>
      <c r="C2760" t="s">
        <v>5404</v>
      </c>
    </row>
    <row r="2761" spans="1:3" x14ac:dyDescent="0.25">
      <c r="A2761" t="str">
        <f>"764538"</f>
        <v>764538</v>
      </c>
      <c r="B2761" t="s">
        <v>5405</v>
      </c>
      <c r="C2761" t="s">
        <v>5406</v>
      </c>
    </row>
    <row r="2762" spans="1:3" x14ac:dyDescent="0.25">
      <c r="A2762" t="str">
        <f>"762304"</f>
        <v>762304</v>
      </c>
      <c r="B2762" t="s">
        <v>5407</v>
      </c>
      <c r="C2762" t="s">
        <v>5408</v>
      </c>
    </row>
    <row r="2763" spans="1:3" x14ac:dyDescent="0.25">
      <c r="A2763" t="str">
        <f>"811850"</f>
        <v>811850</v>
      </c>
      <c r="B2763" t="s">
        <v>5409</v>
      </c>
      <c r="C2763" t="s">
        <v>5410</v>
      </c>
    </row>
    <row r="2764" spans="1:3" x14ac:dyDescent="0.25">
      <c r="A2764" t="str">
        <f>"811851"</f>
        <v>811851</v>
      </c>
      <c r="B2764" t="s">
        <v>5411</v>
      </c>
      <c r="C2764" t="s">
        <v>5412</v>
      </c>
    </row>
    <row r="2765" spans="1:3" x14ac:dyDescent="0.25">
      <c r="A2765" t="str">
        <f>"811852"</f>
        <v>811852</v>
      </c>
      <c r="B2765" t="s">
        <v>5413</v>
      </c>
      <c r="C2765" t="s">
        <v>5414</v>
      </c>
    </row>
    <row r="2766" spans="1:3" x14ac:dyDescent="0.25">
      <c r="A2766" t="str">
        <f>"01H31 "</f>
        <v xml:space="preserve">01H31 </v>
      </c>
      <c r="B2766" t="s">
        <v>5415</v>
      </c>
      <c r="C2766" t="s">
        <v>5416</v>
      </c>
    </row>
    <row r="2767" spans="1:3" x14ac:dyDescent="0.25">
      <c r="A2767" t="str">
        <f>"01H41 "</f>
        <v xml:space="preserve">01H41 </v>
      </c>
      <c r="B2767" t="s">
        <v>5417</v>
      </c>
      <c r="C2767" t="s">
        <v>5418</v>
      </c>
    </row>
    <row r="2768" spans="1:3" x14ac:dyDescent="0.25">
      <c r="A2768" t="str">
        <f>"811853"</f>
        <v>811853</v>
      </c>
      <c r="B2768" t="s">
        <v>5419</v>
      </c>
      <c r="C2768" t="s">
        <v>5420</v>
      </c>
    </row>
    <row r="2769" spans="1:3" x14ac:dyDescent="0.25">
      <c r="A2769" t="str">
        <f>"811854"</f>
        <v>811854</v>
      </c>
      <c r="B2769" t="s">
        <v>5421</v>
      </c>
      <c r="C2769" t="s">
        <v>5422</v>
      </c>
    </row>
    <row r="2770" spans="1:3" x14ac:dyDescent="0.25">
      <c r="A2770" t="str">
        <f>"01G93 "</f>
        <v xml:space="preserve">01G93 </v>
      </c>
      <c r="B2770" t="s">
        <v>5423</v>
      </c>
      <c r="C2770" t="s">
        <v>5424</v>
      </c>
    </row>
    <row r="2771" spans="1:3" x14ac:dyDescent="0.25">
      <c r="A2771" t="str">
        <f>"01G94 "</f>
        <v xml:space="preserve">01G94 </v>
      </c>
      <c r="B2771" t="s">
        <v>5425</v>
      </c>
      <c r="C2771" t="s">
        <v>5426</v>
      </c>
    </row>
    <row r="2772" spans="1:3" x14ac:dyDescent="0.25">
      <c r="A2772" t="str">
        <f>"811855"</f>
        <v>811855</v>
      </c>
      <c r="B2772" t="s">
        <v>5427</v>
      </c>
      <c r="C2772" t="s">
        <v>5334</v>
      </c>
    </row>
    <row r="2773" spans="1:3" x14ac:dyDescent="0.25">
      <c r="A2773" t="str">
        <f>"811856"</f>
        <v>811856</v>
      </c>
      <c r="B2773" t="s">
        <v>5428</v>
      </c>
      <c r="C2773" t="s">
        <v>5429</v>
      </c>
    </row>
    <row r="2774" spans="1:3" x14ac:dyDescent="0.25">
      <c r="A2774" t="str">
        <f>"01FKP2"</f>
        <v>01FKP2</v>
      </c>
      <c r="B2774" t="s">
        <v>5430</v>
      </c>
      <c r="C2774" t="s">
        <v>5431</v>
      </c>
    </row>
    <row r="2775" spans="1:3" x14ac:dyDescent="0.25">
      <c r="A2775" t="str">
        <f>"01H61 "</f>
        <v xml:space="preserve">01H61 </v>
      </c>
      <c r="B2775" t="s">
        <v>5432</v>
      </c>
      <c r="C2775" t="s">
        <v>5433</v>
      </c>
    </row>
    <row r="2776" spans="1:3" x14ac:dyDescent="0.25">
      <c r="A2776" t="str">
        <f>"763199"</f>
        <v>763199</v>
      </c>
      <c r="B2776" t="s">
        <v>5434</v>
      </c>
      <c r="C2776" t="s">
        <v>5435</v>
      </c>
    </row>
    <row r="2777" spans="1:3" x14ac:dyDescent="0.25">
      <c r="A2777" t="str">
        <f>"761303"</f>
        <v>761303</v>
      </c>
      <c r="B2777" t="s">
        <v>5436</v>
      </c>
      <c r="C2777" t="s">
        <v>5437</v>
      </c>
    </row>
    <row r="2778" spans="1:3" x14ac:dyDescent="0.25">
      <c r="A2778" t="str">
        <f>"764539"</f>
        <v>764539</v>
      </c>
      <c r="B2778" t="s">
        <v>5438</v>
      </c>
      <c r="C2778" t="s">
        <v>5439</v>
      </c>
    </row>
    <row r="2779" spans="1:3" x14ac:dyDescent="0.25">
      <c r="A2779" t="str">
        <f>"01H71 "</f>
        <v xml:space="preserve">01H71 </v>
      </c>
      <c r="B2779" t="s">
        <v>5440</v>
      </c>
      <c r="C2779" t="s">
        <v>5441</v>
      </c>
    </row>
    <row r="2780" spans="1:3" x14ac:dyDescent="0.25">
      <c r="A2780" t="str">
        <f>"01H81 "</f>
        <v xml:space="preserve">01H81 </v>
      </c>
      <c r="B2780" t="s">
        <v>5442</v>
      </c>
      <c r="C2780" t="s">
        <v>5443</v>
      </c>
    </row>
    <row r="2781" spans="1:3" x14ac:dyDescent="0.25">
      <c r="A2781" t="str">
        <f>"761304"</f>
        <v>761304</v>
      </c>
      <c r="B2781" t="s">
        <v>5444</v>
      </c>
      <c r="C2781" t="s">
        <v>5445</v>
      </c>
    </row>
    <row r="2782" spans="1:3" x14ac:dyDescent="0.25">
      <c r="A2782" t="str">
        <f>"764540"</f>
        <v>764540</v>
      </c>
      <c r="B2782" t="s">
        <v>5446</v>
      </c>
      <c r="C2782" t="s">
        <v>5447</v>
      </c>
    </row>
    <row r="2783" spans="1:3" x14ac:dyDescent="0.25">
      <c r="A2783" t="str">
        <f>"763200"</f>
        <v>763200</v>
      </c>
      <c r="B2783" t="s">
        <v>5448</v>
      </c>
      <c r="C2783" t="s">
        <v>5449</v>
      </c>
    </row>
    <row r="2784" spans="1:3" x14ac:dyDescent="0.25">
      <c r="A2784" t="str">
        <f>"01IG1 "</f>
        <v xml:space="preserve">01IG1 </v>
      </c>
      <c r="B2784" t="s">
        <v>5450</v>
      </c>
      <c r="C2784" t="s">
        <v>5451</v>
      </c>
    </row>
    <row r="2785" spans="1:3" x14ac:dyDescent="0.25">
      <c r="A2785" t="str">
        <f>"01IC1 "</f>
        <v xml:space="preserve">01IC1 </v>
      </c>
      <c r="B2785" t="s">
        <v>5452</v>
      </c>
      <c r="C2785" t="s">
        <v>5453</v>
      </c>
    </row>
    <row r="2786" spans="1:3" x14ac:dyDescent="0.25">
      <c r="A2786" t="str">
        <f>"761305"</f>
        <v>761305</v>
      </c>
      <c r="B2786" t="s">
        <v>5454</v>
      </c>
      <c r="C2786" t="s">
        <v>5455</v>
      </c>
    </row>
    <row r="2787" spans="1:3" x14ac:dyDescent="0.25">
      <c r="A2787" t="str">
        <f>"763201"</f>
        <v>763201</v>
      </c>
      <c r="B2787" t="s">
        <v>5456</v>
      </c>
      <c r="C2787" t="s">
        <v>5457</v>
      </c>
    </row>
    <row r="2788" spans="1:3" x14ac:dyDescent="0.25">
      <c r="A2788" t="str">
        <f>"764541"</f>
        <v>764541</v>
      </c>
      <c r="B2788" t="s">
        <v>5458</v>
      </c>
      <c r="C2788" t="s">
        <v>5459</v>
      </c>
    </row>
    <row r="2789" spans="1:3" x14ac:dyDescent="0.25">
      <c r="A2789" t="str">
        <f>"764542"</f>
        <v>764542</v>
      </c>
      <c r="B2789" t="s">
        <v>5460</v>
      </c>
      <c r="C2789" t="s">
        <v>5461</v>
      </c>
    </row>
    <row r="2790" spans="1:3" x14ac:dyDescent="0.25">
      <c r="A2790" t="str">
        <f>"764543"</f>
        <v>764543</v>
      </c>
      <c r="B2790" t="s">
        <v>5462</v>
      </c>
      <c r="C2790" t="s">
        <v>5463</v>
      </c>
    </row>
    <row r="2791" spans="1:3" x14ac:dyDescent="0.25">
      <c r="A2791" t="str">
        <f>"01H91 "</f>
        <v xml:space="preserve">01H91 </v>
      </c>
      <c r="B2791" t="s">
        <v>5464</v>
      </c>
      <c r="C2791" t="s">
        <v>5465</v>
      </c>
    </row>
    <row r="2792" spans="1:3" x14ac:dyDescent="0.25">
      <c r="A2792" t="str">
        <f>"01IE1 "</f>
        <v xml:space="preserve">01IE1 </v>
      </c>
      <c r="B2792" t="s">
        <v>5466</v>
      </c>
      <c r="C2792" t="s">
        <v>5467</v>
      </c>
    </row>
    <row r="2793" spans="1:3" x14ac:dyDescent="0.25">
      <c r="A2793" t="str">
        <f>"01IH1 "</f>
        <v xml:space="preserve">01IH1 </v>
      </c>
      <c r="B2793" t="s">
        <v>5468</v>
      </c>
      <c r="C2793" t="s">
        <v>5469</v>
      </c>
    </row>
    <row r="2794" spans="1:3" x14ac:dyDescent="0.25">
      <c r="A2794" t="str">
        <f>"01ID1 "</f>
        <v xml:space="preserve">01ID1 </v>
      </c>
      <c r="B2794" t="s">
        <v>5470</v>
      </c>
      <c r="C2794" t="s">
        <v>5471</v>
      </c>
    </row>
    <row r="2795" spans="1:3" x14ac:dyDescent="0.25">
      <c r="A2795" t="str">
        <f>"01IB1 "</f>
        <v xml:space="preserve">01IB1 </v>
      </c>
      <c r="B2795" t="s">
        <v>5472</v>
      </c>
      <c r="C2795" t="s">
        <v>5473</v>
      </c>
    </row>
    <row r="2796" spans="1:3" x14ac:dyDescent="0.25">
      <c r="A2796" t="str">
        <f>"763202"</f>
        <v>763202</v>
      </c>
      <c r="B2796" t="s">
        <v>5474</v>
      </c>
      <c r="C2796" t="s">
        <v>5475</v>
      </c>
    </row>
    <row r="2797" spans="1:3" x14ac:dyDescent="0.25">
      <c r="A2797" t="str">
        <f>"764544"</f>
        <v>764544</v>
      </c>
      <c r="B2797" t="s">
        <v>5476</v>
      </c>
      <c r="C2797" t="s">
        <v>5477</v>
      </c>
    </row>
    <row r="2798" spans="1:3" x14ac:dyDescent="0.25">
      <c r="A2798" t="str">
        <f>"764545"</f>
        <v>764545</v>
      </c>
      <c r="B2798" t="s">
        <v>5478</v>
      </c>
      <c r="C2798" t="s">
        <v>5479</v>
      </c>
    </row>
    <row r="2799" spans="1:3" x14ac:dyDescent="0.25">
      <c r="A2799" t="str">
        <f>"MCPT13"</f>
        <v>MCPT13</v>
      </c>
      <c r="B2799" t="s">
        <v>5480</v>
      </c>
      <c r="C2799" t="s">
        <v>5481</v>
      </c>
    </row>
    <row r="2800" spans="1:3" x14ac:dyDescent="0.25">
      <c r="A2800" t="str">
        <f>"MCBO13"</f>
        <v>MCBO13</v>
      </c>
      <c r="B2800" t="s">
        <v>5482</v>
      </c>
      <c r="C2800" t="s">
        <v>5483</v>
      </c>
    </row>
    <row r="2801" spans="1:3" x14ac:dyDescent="0.25">
      <c r="A2801" t="str">
        <f>"01IR1 "</f>
        <v xml:space="preserve">01IR1 </v>
      </c>
      <c r="B2801" t="s">
        <v>5484</v>
      </c>
      <c r="C2801" t="s">
        <v>5485</v>
      </c>
    </row>
    <row r="2802" spans="1:3" x14ac:dyDescent="0.25">
      <c r="A2802" t="str">
        <f>"01IS1 "</f>
        <v xml:space="preserve">01IS1 </v>
      </c>
      <c r="B2802" t="s">
        <v>5486</v>
      </c>
      <c r="C2802" t="s">
        <v>5487</v>
      </c>
    </row>
    <row r="2803" spans="1:3" x14ac:dyDescent="0.25">
      <c r="A2803" t="str">
        <f>"01IL1 "</f>
        <v xml:space="preserve">01IL1 </v>
      </c>
      <c r="B2803" t="s">
        <v>5488</v>
      </c>
      <c r="C2803" t="s">
        <v>5489</v>
      </c>
    </row>
    <row r="2804" spans="1:3" x14ac:dyDescent="0.25">
      <c r="A2804" t="str">
        <f>"01IM1 "</f>
        <v xml:space="preserve">01IM1 </v>
      </c>
      <c r="B2804" t="s">
        <v>5490</v>
      </c>
      <c r="C2804" t="s">
        <v>5491</v>
      </c>
    </row>
    <row r="2805" spans="1:3" x14ac:dyDescent="0.25">
      <c r="A2805" t="str">
        <f>"01IA1 "</f>
        <v xml:space="preserve">01IA1 </v>
      </c>
      <c r="B2805" t="s">
        <v>5492</v>
      </c>
      <c r="C2805" t="s">
        <v>5493</v>
      </c>
    </row>
    <row r="2806" spans="1:3" x14ac:dyDescent="0.25">
      <c r="A2806" t="str">
        <f>"01IN1 "</f>
        <v xml:space="preserve">01IN1 </v>
      </c>
      <c r="B2806" t="s">
        <v>5494</v>
      </c>
      <c r="C2806" t="s">
        <v>5495</v>
      </c>
    </row>
    <row r="2807" spans="1:3" x14ac:dyDescent="0.25">
      <c r="A2807" t="str">
        <f>"01IQ1 "</f>
        <v xml:space="preserve">01IQ1 </v>
      </c>
      <c r="B2807" t="s">
        <v>5496</v>
      </c>
      <c r="C2807" t="s">
        <v>5497</v>
      </c>
    </row>
    <row r="2808" spans="1:3" x14ac:dyDescent="0.25">
      <c r="A2808" t="str">
        <f>"01IP1 "</f>
        <v xml:space="preserve">01IP1 </v>
      </c>
      <c r="B2808" t="s">
        <v>5498</v>
      </c>
      <c r="C2808" t="s">
        <v>5499</v>
      </c>
    </row>
    <row r="2809" spans="1:3" x14ac:dyDescent="0.25">
      <c r="A2809" t="str">
        <f>"01IT1 "</f>
        <v xml:space="preserve">01IT1 </v>
      </c>
      <c r="B2809" t="s">
        <v>5500</v>
      </c>
      <c r="C2809" t="s">
        <v>5501</v>
      </c>
    </row>
    <row r="2810" spans="1:3" x14ac:dyDescent="0.25">
      <c r="A2810" t="str">
        <f>"764546"</f>
        <v>764546</v>
      </c>
      <c r="B2810" t="s">
        <v>5502</v>
      </c>
      <c r="C2810" t="s">
        <v>5503</v>
      </c>
    </row>
    <row r="2811" spans="1:3" x14ac:dyDescent="0.25">
      <c r="A2811" t="str">
        <f>"761306"</f>
        <v>761306</v>
      </c>
      <c r="B2811" t="s">
        <v>5504</v>
      </c>
      <c r="C2811" t="s">
        <v>5505</v>
      </c>
    </row>
    <row r="2812" spans="1:3" x14ac:dyDescent="0.25">
      <c r="A2812" t="str">
        <f>"MCTY15"</f>
        <v>MCTY15</v>
      </c>
      <c r="B2812" t="s">
        <v>5506</v>
      </c>
      <c r="C2812" t="s">
        <v>5507</v>
      </c>
    </row>
    <row r="2813" spans="1:3" x14ac:dyDescent="0.25">
      <c r="A2813" t="str">
        <f>"01IK1 "</f>
        <v xml:space="preserve">01IK1 </v>
      </c>
      <c r="B2813" t="s">
        <v>5508</v>
      </c>
      <c r="C2813" t="s">
        <v>5509</v>
      </c>
    </row>
    <row r="2814" spans="1:3" x14ac:dyDescent="0.25">
      <c r="A2814" t="str">
        <f>"MCBO15"</f>
        <v>MCBO15</v>
      </c>
      <c r="B2814" t="s">
        <v>5510</v>
      </c>
      <c r="C2814" t="s">
        <v>5511</v>
      </c>
    </row>
    <row r="2815" spans="1:3" x14ac:dyDescent="0.25">
      <c r="A2815" t="str">
        <f>"810911"</f>
        <v>810911</v>
      </c>
      <c r="B2815" t="s">
        <v>5512</v>
      </c>
      <c r="C2815" t="s">
        <v>5513</v>
      </c>
    </row>
    <row r="2816" spans="1:3" x14ac:dyDescent="0.25">
      <c r="A2816" t="str">
        <f>"81424 "</f>
        <v xml:space="preserve">81424 </v>
      </c>
      <c r="B2816" t="s">
        <v>5514</v>
      </c>
      <c r="C2816" t="s">
        <v>5515</v>
      </c>
    </row>
    <row r="2817" spans="1:3" x14ac:dyDescent="0.25">
      <c r="A2817" t="str">
        <f>"81425 "</f>
        <v xml:space="preserve">81425 </v>
      </c>
      <c r="B2817" t="s">
        <v>5516</v>
      </c>
      <c r="C2817" t="s">
        <v>5517</v>
      </c>
    </row>
    <row r="2818" spans="1:3" x14ac:dyDescent="0.25">
      <c r="A2818" t="str">
        <f>"01IJ1 "</f>
        <v xml:space="preserve">01IJ1 </v>
      </c>
      <c r="B2818" t="s">
        <v>5518</v>
      </c>
      <c r="C2818" t="s">
        <v>5519</v>
      </c>
    </row>
    <row r="2819" spans="1:3" x14ac:dyDescent="0.25">
      <c r="A2819" t="str">
        <f>"763203"</f>
        <v>763203</v>
      </c>
      <c r="B2819" t="s">
        <v>5520</v>
      </c>
      <c r="C2819" t="s">
        <v>5521</v>
      </c>
    </row>
    <row r="2820" spans="1:3" x14ac:dyDescent="0.25">
      <c r="A2820" t="str">
        <f>"763204"</f>
        <v>763204</v>
      </c>
      <c r="B2820" t="s">
        <v>5522</v>
      </c>
      <c r="C2820" t="s">
        <v>5523</v>
      </c>
    </row>
    <row r="2821" spans="1:3" x14ac:dyDescent="0.25">
      <c r="A2821" t="str">
        <f>"761307"</f>
        <v>761307</v>
      </c>
      <c r="B2821" t="s">
        <v>5524</v>
      </c>
      <c r="C2821" t="s">
        <v>5525</v>
      </c>
    </row>
    <row r="2822" spans="1:3" x14ac:dyDescent="0.25">
      <c r="A2822" t="str">
        <f>"761308"</f>
        <v>761308</v>
      </c>
      <c r="B2822" t="s">
        <v>5526</v>
      </c>
      <c r="C2822" t="s">
        <v>5527</v>
      </c>
    </row>
    <row r="2823" spans="1:3" x14ac:dyDescent="0.25">
      <c r="A2823" t="str">
        <f>"01JH1 "</f>
        <v xml:space="preserve">01JH1 </v>
      </c>
      <c r="B2823" t="s">
        <v>5528</v>
      </c>
      <c r="C2823" t="s">
        <v>5529</v>
      </c>
    </row>
    <row r="2824" spans="1:3" x14ac:dyDescent="0.25">
      <c r="A2824" t="str">
        <f>"01JA1 "</f>
        <v xml:space="preserve">01JA1 </v>
      </c>
      <c r="B2824" t="s">
        <v>5530</v>
      </c>
      <c r="C2824" t="s">
        <v>5531</v>
      </c>
    </row>
    <row r="2825" spans="1:3" x14ac:dyDescent="0.25">
      <c r="A2825" t="str">
        <f>"01JG1 "</f>
        <v xml:space="preserve">01JG1 </v>
      </c>
      <c r="B2825" t="s">
        <v>5532</v>
      </c>
      <c r="C2825" t="s">
        <v>5533</v>
      </c>
    </row>
    <row r="2826" spans="1:3" x14ac:dyDescent="0.25">
      <c r="A2826" t="str">
        <f>"01JF1 "</f>
        <v xml:space="preserve">01JF1 </v>
      </c>
      <c r="B2826" t="s">
        <v>5534</v>
      </c>
      <c r="C2826" t="s">
        <v>5535</v>
      </c>
    </row>
    <row r="2827" spans="1:3" x14ac:dyDescent="0.25">
      <c r="A2827" t="str">
        <f>"01JE1 "</f>
        <v xml:space="preserve">01JE1 </v>
      </c>
      <c r="B2827" t="s">
        <v>5536</v>
      </c>
      <c r="C2827" t="s">
        <v>5537</v>
      </c>
    </row>
    <row r="2828" spans="1:3" x14ac:dyDescent="0.25">
      <c r="A2828" t="str">
        <f>"01JC1 "</f>
        <v xml:space="preserve">01JC1 </v>
      </c>
      <c r="B2828" t="s">
        <v>5538</v>
      </c>
      <c r="C2828" t="s">
        <v>5539</v>
      </c>
    </row>
    <row r="2829" spans="1:3" x14ac:dyDescent="0.25">
      <c r="A2829" t="str">
        <f>"01JB1 "</f>
        <v xml:space="preserve">01JB1 </v>
      </c>
      <c r="B2829" t="s">
        <v>5540</v>
      </c>
      <c r="C2829" t="s">
        <v>5541</v>
      </c>
    </row>
    <row r="2830" spans="1:3" x14ac:dyDescent="0.25">
      <c r="A2830" t="str">
        <f>"01JD1 "</f>
        <v xml:space="preserve">01JD1 </v>
      </c>
      <c r="B2830" t="s">
        <v>5542</v>
      </c>
      <c r="C2830" t="s">
        <v>5543</v>
      </c>
    </row>
    <row r="2831" spans="1:3" x14ac:dyDescent="0.25">
      <c r="A2831" t="str">
        <f>"01FB3 "</f>
        <v xml:space="preserve">01FB3 </v>
      </c>
      <c r="B2831" t="s">
        <v>5544</v>
      </c>
      <c r="C2831" t="s">
        <v>5545</v>
      </c>
    </row>
    <row r="2832" spans="1:3" x14ac:dyDescent="0.25">
      <c r="A2832" t="str">
        <f>"764547"</f>
        <v>764547</v>
      </c>
      <c r="B2832" t="s">
        <v>5546</v>
      </c>
      <c r="C2832" t="s">
        <v>5547</v>
      </c>
    </row>
    <row r="2833" spans="1:3" x14ac:dyDescent="0.25">
      <c r="A2833" t="str">
        <f>"815318"</f>
        <v>815318</v>
      </c>
      <c r="B2833" t="s">
        <v>5548</v>
      </c>
      <c r="C2833" t="s">
        <v>5549</v>
      </c>
    </row>
    <row r="2834" spans="1:3" x14ac:dyDescent="0.25">
      <c r="A2834" t="str">
        <f>"01JR1 "</f>
        <v xml:space="preserve">01JR1 </v>
      </c>
      <c r="B2834" t="s">
        <v>5550</v>
      </c>
      <c r="C2834" t="s">
        <v>5551</v>
      </c>
    </row>
    <row r="2835" spans="1:3" x14ac:dyDescent="0.25">
      <c r="A2835" t="str">
        <f>"01JK1 "</f>
        <v xml:space="preserve">01JK1 </v>
      </c>
      <c r="B2835" t="s">
        <v>5552</v>
      </c>
      <c r="C2835" t="s">
        <v>5553</v>
      </c>
    </row>
    <row r="2836" spans="1:3" x14ac:dyDescent="0.25">
      <c r="A2836" t="str">
        <f>"01JL1 "</f>
        <v xml:space="preserve">01JL1 </v>
      </c>
      <c r="B2836" t="s">
        <v>5554</v>
      </c>
      <c r="C2836" t="s">
        <v>5555</v>
      </c>
    </row>
    <row r="2837" spans="1:3" x14ac:dyDescent="0.25">
      <c r="A2837" t="str">
        <f>"01JN1 "</f>
        <v xml:space="preserve">01JN1 </v>
      </c>
      <c r="B2837" t="s">
        <v>5556</v>
      </c>
      <c r="C2837" t="s">
        <v>5557</v>
      </c>
    </row>
    <row r="2838" spans="1:3" x14ac:dyDescent="0.25">
      <c r="A2838" t="str">
        <f>"01JQ1 "</f>
        <v xml:space="preserve">01JQ1 </v>
      </c>
      <c r="B2838" t="s">
        <v>5558</v>
      </c>
      <c r="C2838" t="s">
        <v>5559</v>
      </c>
    </row>
    <row r="2839" spans="1:3" x14ac:dyDescent="0.25">
      <c r="A2839" t="str">
        <f>"01JM1 "</f>
        <v xml:space="preserve">01JM1 </v>
      </c>
      <c r="B2839" t="s">
        <v>5560</v>
      </c>
      <c r="C2839" t="s">
        <v>5561</v>
      </c>
    </row>
    <row r="2840" spans="1:3" x14ac:dyDescent="0.25">
      <c r="A2840" t="str">
        <f>"01JJ1 "</f>
        <v xml:space="preserve">01JJ1 </v>
      </c>
      <c r="B2840" t="s">
        <v>5562</v>
      </c>
      <c r="C2840" t="s">
        <v>5563</v>
      </c>
    </row>
    <row r="2841" spans="1:3" x14ac:dyDescent="0.25">
      <c r="A2841" t="str">
        <f>"763205"</f>
        <v>763205</v>
      </c>
      <c r="B2841" t="s">
        <v>5564</v>
      </c>
      <c r="C2841" t="s">
        <v>5565</v>
      </c>
    </row>
    <row r="2842" spans="1:3" x14ac:dyDescent="0.25">
      <c r="A2842" t="str">
        <f>"763206"</f>
        <v>763206</v>
      </c>
      <c r="B2842" t="s">
        <v>5566</v>
      </c>
      <c r="C2842" t="s">
        <v>5567</v>
      </c>
    </row>
    <row r="2843" spans="1:3" x14ac:dyDescent="0.25">
      <c r="A2843" t="str">
        <f>"01JS1 "</f>
        <v xml:space="preserve">01JS1 </v>
      </c>
      <c r="B2843" t="s">
        <v>5568</v>
      </c>
      <c r="C2843" t="s">
        <v>5569</v>
      </c>
    </row>
    <row r="2844" spans="1:3" x14ac:dyDescent="0.25">
      <c r="A2844" t="str">
        <f>"01JX1 "</f>
        <v xml:space="preserve">01JX1 </v>
      </c>
      <c r="B2844" t="s">
        <v>5570</v>
      </c>
      <c r="C2844" t="s">
        <v>5571</v>
      </c>
    </row>
    <row r="2845" spans="1:3" x14ac:dyDescent="0.25">
      <c r="A2845" t="str">
        <f>"01JX2 "</f>
        <v xml:space="preserve">01JX2 </v>
      </c>
      <c r="B2845" t="s">
        <v>5572</v>
      </c>
      <c r="C2845" t="s">
        <v>5573</v>
      </c>
    </row>
    <row r="2846" spans="1:3" x14ac:dyDescent="0.25">
      <c r="A2846" t="str">
        <f>"01JX3 "</f>
        <v xml:space="preserve">01JX3 </v>
      </c>
      <c r="B2846" t="s">
        <v>5574</v>
      </c>
      <c r="C2846" t="s">
        <v>5575</v>
      </c>
    </row>
    <row r="2847" spans="1:3" x14ac:dyDescent="0.25">
      <c r="A2847" t="str">
        <f>"01JY1 "</f>
        <v xml:space="preserve">01JY1 </v>
      </c>
      <c r="B2847" t="s">
        <v>5576</v>
      </c>
      <c r="C2847" t="s">
        <v>5577</v>
      </c>
    </row>
    <row r="2848" spans="1:3" x14ac:dyDescent="0.25">
      <c r="A2848" t="str">
        <f>"01JY2 "</f>
        <v xml:space="preserve">01JY2 </v>
      </c>
      <c r="B2848" t="s">
        <v>5578</v>
      </c>
      <c r="C2848" t="s">
        <v>5579</v>
      </c>
    </row>
    <row r="2849" spans="1:3" x14ac:dyDescent="0.25">
      <c r="A2849" t="str">
        <f>"01JY3 "</f>
        <v xml:space="preserve">01JY3 </v>
      </c>
      <c r="B2849" t="s">
        <v>5580</v>
      </c>
      <c r="C2849" t="s">
        <v>5581</v>
      </c>
    </row>
    <row r="2850" spans="1:3" x14ac:dyDescent="0.25">
      <c r="A2850" t="str">
        <f>"01JY4 "</f>
        <v xml:space="preserve">01JY4 </v>
      </c>
      <c r="B2850" t="s">
        <v>5582</v>
      </c>
      <c r="C2850" t="s">
        <v>5583</v>
      </c>
    </row>
    <row r="2851" spans="1:3" x14ac:dyDescent="0.25">
      <c r="A2851" t="str">
        <f>"01JY5 "</f>
        <v xml:space="preserve">01JY5 </v>
      </c>
      <c r="B2851" t="s">
        <v>5584</v>
      </c>
      <c r="C2851" t="s">
        <v>5585</v>
      </c>
    </row>
    <row r="2852" spans="1:3" x14ac:dyDescent="0.25">
      <c r="A2852" t="str">
        <f>"01JY6 "</f>
        <v xml:space="preserve">01JY6 </v>
      </c>
      <c r="B2852" t="s">
        <v>5586</v>
      </c>
      <c r="C2852" t="s">
        <v>5587</v>
      </c>
    </row>
    <row r="2853" spans="1:3" x14ac:dyDescent="0.25">
      <c r="A2853" t="str">
        <f>"01JY7 "</f>
        <v xml:space="preserve">01JY7 </v>
      </c>
      <c r="B2853" t="s">
        <v>5588</v>
      </c>
      <c r="C2853" t="s">
        <v>5589</v>
      </c>
    </row>
    <row r="2854" spans="1:3" x14ac:dyDescent="0.25">
      <c r="A2854" t="str">
        <f>"01JY8 "</f>
        <v xml:space="preserve">01JY8 </v>
      </c>
      <c r="B2854" t="s">
        <v>5590</v>
      </c>
      <c r="C2854" t="s">
        <v>5591</v>
      </c>
    </row>
    <row r="2855" spans="1:3" x14ac:dyDescent="0.25">
      <c r="A2855" t="str">
        <f>"01JY9 "</f>
        <v xml:space="preserve">01JY9 </v>
      </c>
      <c r="B2855" t="s">
        <v>5592</v>
      </c>
      <c r="C2855" t="s">
        <v>5593</v>
      </c>
    </row>
    <row r="2856" spans="1:3" x14ac:dyDescent="0.25">
      <c r="A2856" t="str">
        <f>"01JY10"</f>
        <v>01JY10</v>
      </c>
      <c r="B2856" t="s">
        <v>5594</v>
      </c>
      <c r="C2856" t="s">
        <v>5595</v>
      </c>
    </row>
    <row r="2857" spans="1:3" x14ac:dyDescent="0.25">
      <c r="A2857" t="str">
        <f>"01JY11"</f>
        <v>01JY11</v>
      </c>
      <c r="B2857" t="s">
        <v>5596</v>
      </c>
      <c r="C2857" t="s">
        <v>5597</v>
      </c>
    </row>
    <row r="2858" spans="1:3" x14ac:dyDescent="0.25">
      <c r="A2858" t="str">
        <f>"01JY12"</f>
        <v>01JY12</v>
      </c>
      <c r="B2858" t="s">
        <v>5598</v>
      </c>
      <c r="C2858" t="s">
        <v>5599</v>
      </c>
    </row>
    <row r="2859" spans="1:3" x14ac:dyDescent="0.25">
      <c r="A2859" t="str">
        <f>"01JY13"</f>
        <v>01JY13</v>
      </c>
      <c r="B2859" t="s">
        <v>5600</v>
      </c>
      <c r="C2859" t="s">
        <v>5601</v>
      </c>
    </row>
    <row r="2860" spans="1:3" x14ac:dyDescent="0.25">
      <c r="A2860" t="str">
        <f>"01JY14"</f>
        <v>01JY14</v>
      </c>
      <c r="B2860" t="s">
        <v>5602</v>
      </c>
      <c r="C2860" t="s">
        <v>5603</v>
      </c>
    </row>
    <row r="2861" spans="1:3" x14ac:dyDescent="0.25">
      <c r="A2861" t="str">
        <f>"01JY15"</f>
        <v>01JY15</v>
      </c>
      <c r="B2861" t="s">
        <v>5604</v>
      </c>
      <c r="C2861" t="s">
        <v>5605</v>
      </c>
    </row>
    <row r="2862" spans="1:3" x14ac:dyDescent="0.25">
      <c r="A2862" t="str">
        <f>"01JY16"</f>
        <v>01JY16</v>
      </c>
      <c r="B2862" t="s">
        <v>5606</v>
      </c>
      <c r="C2862" t="s">
        <v>5607</v>
      </c>
    </row>
    <row r="2863" spans="1:3" x14ac:dyDescent="0.25">
      <c r="A2863" t="str">
        <f>"01JY17"</f>
        <v>01JY17</v>
      </c>
      <c r="B2863" t="s">
        <v>5608</v>
      </c>
      <c r="C2863" t="s">
        <v>5609</v>
      </c>
    </row>
    <row r="2864" spans="1:3" x14ac:dyDescent="0.25">
      <c r="A2864" t="str">
        <f>"01JY18"</f>
        <v>01JY18</v>
      </c>
      <c r="B2864" t="s">
        <v>5610</v>
      </c>
      <c r="C2864" t="s">
        <v>5611</v>
      </c>
    </row>
    <row r="2865" spans="1:3" x14ac:dyDescent="0.25">
      <c r="A2865" t="str">
        <f>"01JY19"</f>
        <v>01JY19</v>
      </c>
      <c r="B2865" t="s">
        <v>5612</v>
      </c>
      <c r="C2865" t="s">
        <v>5613</v>
      </c>
    </row>
    <row r="2866" spans="1:3" x14ac:dyDescent="0.25">
      <c r="A2866" t="str">
        <f>"01JY20"</f>
        <v>01JY20</v>
      </c>
      <c r="B2866" t="s">
        <v>5614</v>
      </c>
      <c r="C2866" t="s">
        <v>5615</v>
      </c>
    </row>
    <row r="2867" spans="1:3" x14ac:dyDescent="0.25">
      <c r="A2867" t="str">
        <f>"01JY21"</f>
        <v>01JY21</v>
      </c>
      <c r="B2867" t="s">
        <v>5616</v>
      </c>
      <c r="C2867" t="s">
        <v>5617</v>
      </c>
    </row>
    <row r="2868" spans="1:3" x14ac:dyDescent="0.25">
      <c r="A2868" t="str">
        <f>"01JY22"</f>
        <v>01JY22</v>
      </c>
      <c r="B2868" t="s">
        <v>5618</v>
      </c>
      <c r="C2868" t="s">
        <v>5619</v>
      </c>
    </row>
    <row r="2869" spans="1:3" x14ac:dyDescent="0.25">
      <c r="A2869" t="str">
        <f>"01JY23"</f>
        <v>01JY23</v>
      </c>
      <c r="B2869" t="s">
        <v>5620</v>
      </c>
      <c r="C2869" t="s">
        <v>5621</v>
      </c>
    </row>
    <row r="2870" spans="1:3" x14ac:dyDescent="0.25">
      <c r="A2870" t="str">
        <f>"01JY24"</f>
        <v>01JY24</v>
      </c>
      <c r="B2870" t="s">
        <v>5622</v>
      </c>
      <c r="C2870" t="s">
        <v>5623</v>
      </c>
    </row>
    <row r="2871" spans="1:3" x14ac:dyDescent="0.25">
      <c r="A2871" t="str">
        <f>"01JY25"</f>
        <v>01JY25</v>
      </c>
      <c r="B2871" t="s">
        <v>5624</v>
      </c>
      <c r="C2871" t="s">
        <v>5625</v>
      </c>
    </row>
    <row r="2872" spans="1:3" x14ac:dyDescent="0.25">
      <c r="A2872" t="str">
        <f>"01JY26"</f>
        <v>01JY26</v>
      </c>
      <c r="B2872" t="s">
        <v>5626</v>
      </c>
      <c r="C2872" t="s">
        <v>5627</v>
      </c>
    </row>
    <row r="2873" spans="1:3" x14ac:dyDescent="0.25">
      <c r="A2873" t="str">
        <f>"01JY27"</f>
        <v>01JY27</v>
      </c>
      <c r="B2873" t="s">
        <v>5628</v>
      </c>
      <c r="C2873" t="s">
        <v>5629</v>
      </c>
    </row>
    <row r="2874" spans="1:3" x14ac:dyDescent="0.25">
      <c r="A2874" t="str">
        <f>"01JY28"</f>
        <v>01JY28</v>
      </c>
      <c r="B2874" t="s">
        <v>5630</v>
      </c>
      <c r="C2874" t="s">
        <v>5631</v>
      </c>
    </row>
    <row r="2875" spans="1:3" x14ac:dyDescent="0.25">
      <c r="A2875" t="str">
        <f>"01JY29"</f>
        <v>01JY29</v>
      </c>
      <c r="B2875" t="s">
        <v>5632</v>
      </c>
      <c r="C2875" t="s">
        <v>5633</v>
      </c>
    </row>
    <row r="2876" spans="1:3" x14ac:dyDescent="0.25">
      <c r="A2876" t="str">
        <f>"01JY30"</f>
        <v>01JY30</v>
      </c>
      <c r="B2876" t="s">
        <v>5634</v>
      </c>
      <c r="C2876" t="s">
        <v>5635</v>
      </c>
    </row>
    <row r="2877" spans="1:3" x14ac:dyDescent="0.25">
      <c r="A2877" t="str">
        <f>"01JY31"</f>
        <v>01JY31</v>
      </c>
      <c r="B2877" t="s">
        <v>5636</v>
      </c>
      <c r="C2877" t="s">
        <v>5637</v>
      </c>
    </row>
    <row r="2878" spans="1:3" x14ac:dyDescent="0.25">
      <c r="A2878" t="str">
        <f>"01KE1 "</f>
        <v xml:space="preserve">01KE1 </v>
      </c>
      <c r="B2878" t="s">
        <v>5638</v>
      </c>
      <c r="C2878" t="s">
        <v>5639</v>
      </c>
    </row>
    <row r="2879" spans="1:3" x14ac:dyDescent="0.25">
      <c r="A2879" t="str">
        <f>"01KB1 "</f>
        <v xml:space="preserve">01KB1 </v>
      </c>
      <c r="B2879" t="s">
        <v>5640</v>
      </c>
      <c r="C2879" t="s">
        <v>5641</v>
      </c>
    </row>
    <row r="2880" spans="1:3" x14ac:dyDescent="0.25">
      <c r="A2880" t="str">
        <f>"01KL1 "</f>
        <v xml:space="preserve">01KL1 </v>
      </c>
      <c r="B2880" t="s">
        <v>5642</v>
      </c>
      <c r="C2880" t="s">
        <v>5643</v>
      </c>
    </row>
    <row r="2881" spans="1:3" x14ac:dyDescent="0.25">
      <c r="A2881" t="str">
        <f>"01KL2 "</f>
        <v xml:space="preserve">01KL2 </v>
      </c>
      <c r="B2881" t="s">
        <v>5644</v>
      </c>
      <c r="C2881" t="s">
        <v>5645</v>
      </c>
    </row>
    <row r="2882" spans="1:3" x14ac:dyDescent="0.25">
      <c r="A2882" t="str">
        <f>"01KD1 "</f>
        <v xml:space="preserve">01KD1 </v>
      </c>
      <c r="B2882" t="s">
        <v>5646</v>
      </c>
      <c r="C2882" t="s">
        <v>5647</v>
      </c>
    </row>
    <row r="2883" spans="1:3" x14ac:dyDescent="0.25">
      <c r="A2883" t="str">
        <f>"01KC1 "</f>
        <v xml:space="preserve">01KC1 </v>
      </c>
      <c r="B2883" t="s">
        <v>5648</v>
      </c>
      <c r="C2883" t="s">
        <v>5649</v>
      </c>
    </row>
    <row r="2884" spans="1:3" x14ac:dyDescent="0.25">
      <c r="A2884" t="str">
        <f>"01KI1 "</f>
        <v xml:space="preserve">01KI1 </v>
      </c>
      <c r="B2884" t="s">
        <v>5650</v>
      </c>
      <c r="C2884" t="s">
        <v>5651</v>
      </c>
    </row>
    <row r="2885" spans="1:3" x14ac:dyDescent="0.25">
      <c r="A2885" t="str">
        <f>"01KA1 "</f>
        <v xml:space="preserve">01KA1 </v>
      </c>
      <c r="B2885" t="s">
        <v>5652</v>
      </c>
      <c r="C2885" t="s">
        <v>5653</v>
      </c>
    </row>
    <row r="2886" spans="1:3" x14ac:dyDescent="0.25">
      <c r="A2886" t="str">
        <f>"01E83 "</f>
        <v xml:space="preserve">01E83 </v>
      </c>
      <c r="B2886" t="s">
        <v>5654</v>
      </c>
      <c r="C2886" t="s">
        <v>5655</v>
      </c>
    </row>
    <row r="2887" spans="1:3" x14ac:dyDescent="0.25">
      <c r="A2887" t="str">
        <f>"01E84 "</f>
        <v xml:space="preserve">01E84 </v>
      </c>
      <c r="B2887" t="s">
        <v>5656</v>
      </c>
      <c r="C2887" t="s">
        <v>5657</v>
      </c>
    </row>
    <row r="2888" spans="1:3" x14ac:dyDescent="0.25">
      <c r="A2888" t="str">
        <f>"01FF3 "</f>
        <v xml:space="preserve">01FF3 </v>
      </c>
      <c r="B2888" t="s">
        <v>5658</v>
      </c>
      <c r="C2888" t="s">
        <v>5655</v>
      </c>
    </row>
    <row r="2889" spans="1:3" x14ac:dyDescent="0.25">
      <c r="A2889" t="str">
        <f>"01KO1 "</f>
        <v xml:space="preserve">01KO1 </v>
      </c>
      <c r="B2889" t="s">
        <v>5659</v>
      </c>
      <c r="C2889" t="s">
        <v>5660</v>
      </c>
    </row>
    <row r="2890" spans="1:3" x14ac:dyDescent="0.25">
      <c r="A2890" t="str">
        <f>"01KN1 "</f>
        <v xml:space="preserve">01KN1 </v>
      </c>
      <c r="B2890" t="s">
        <v>5661</v>
      </c>
      <c r="C2890" t="s">
        <v>5662</v>
      </c>
    </row>
    <row r="2891" spans="1:3" x14ac:dyDescent="0.25">
      <c r="A2891" t="str">
        <f>"01KJ1 "</f>
        <v xml:space="preserve">01KJ1 </v>
      </c>
      <c r="B2891" t="s">
        <v>5663</v>
      </c>
      <c r="C2891" t="s">
        <v>5664</v>
      </c>
    </row>
    <row r="2892" spans="1:3" x14ac:dyDescent="0.25">
      <c r="A2892" t="str">
        <f>"01KF1 "</f>
        <v xml:space="preserve">01KF1 </v>
      </c>
      <c r="B2892" t="s">
        <v>5665</v>
      </c>
      <c r="C2892" t="s">
        <v>5666</v>
      </c>
    </row>
    <row r="2893" spans="1:3" x14ac:dyDescent="0.25">
      <c r="A2893" t="str">
        <f>"01KG1 "</f>
        <v xml:space="preserve">01KG1 </v>
      </c>
      <c r="B2893" t="s">
        <v>5667</v>
      </c>
      <c r="C2893" t="s">
        <v>5668</v>
      </c>
    </row>
    <row r="2894" spans="1:3" x14ac:dyDescent="0.25">
      <c r="A2894" t="str">
        <f>"01KH1 "</f>
        <v xml:space="preserve">01KH1 </v>
      </c>
      <c r="B2894" t="s">
        <v>5669</v>
      </c>
      <c r="C2894" t="s">
        <v>5670</v>
      </c>
    </row>
    <row r="2895" spans="1:3" x14ac:dyDescent="0.25">
      <c r="A2895" t="str">
        <f>"01H22 "</f>
        <v xml:space="preserve">01H22 </v>
      </c>
      <c r="B2895" t="s">
        <v>5671</v>
      </c>
      <c r="C2895" t="s">
        <v>5672</v>
      </c>
    </row>
    <row r="2896" spans="1:3" x14ac:dyDescent="0.25">
      <c r="A2896" t="str">
        <f>"762305"</f>
        <v>762305</v>
      </c>
      <c r="B2896" t="s">
        <v>5673</v>
      </c>
      <c r="C2896" t="s">
        <v>5674</v>
      </c>
    </row>
    <row r="2897" spans="1:3" x14ac:dyDescent="0.25">
      <c r="A2897" t="str">
        <f>"764548"</f>
        <v>764548</v>
      </c>
      <c r="B2897" t="s">
        <v>5675</v>
      </c>
      <c r="C2897" t="s">
        <v>5676</v>
      </c>
    </row>
    <row r="2898" spans="1:3" x14ac:dyDescent="0.25">
      <c r="A2898" t="str">
        <f>"764549"</f>
        <v>764549</v>
      </c>
      <c r="B2898" t="s">
        <v>5677</v>
      </c>
      <c r="C2898" t="s">
        <v>5678</v>
      </c>
    </row>
    <row r="2899" spans="1:3" x14ac:dyDescent="0.25">
      <c r="A2899" t="str">
        <f>"763208"</f>
        <v>763208</v>
      </c>
      <c r="B2899" t="s">
        <v>5679</v>
      </c>
      <c r="C2899" t="s">
        <v>5680</v>
      </c>
    </row>
    <row r="2900" spans="1:3" x14ac:dyDescent="0.25">
      <c r="A2900" t="str">
        <f>"89112 "</f>
        <v xml:space="preserve">89112 </v>
      </c>
      <c r="B2900" t="s">
        <v>5681</v>
      </c>
      <c r="C2900" t="s">
        <v>5682</v>
      </c>
    </row>
    <row r="2901" spans="1:3" x14ac:dyDescent="0.25">
      <c r="A2901" t="str">
        <f>"01KK1 "</f>
        <v xml:space="preserve">01KK1 </v>
      </c>
      <c r="B2901" t="s">
        <v>5683</v>
      </c>
      <c r="C2901" t="s">
        <v>5684</v>
      </c>
    </row>
    <row r="2902" spans="1:3" x14ac:dyDescent="0.25">
      <c r="A2902" t="str">
        <f>"01JZ1 "</f>
        <v xml:space="preserve">01JZ1 </v>
      </c>
      <c r="B2902" t="s">
        <v>5685</v>
      </c>
      <c r="C2902" t="s">
        <v>5686</v>
      </c>
    </row>
    <row r="2903" spans="1:3" x14ac:dyDescent="0.25">
      <c r="A2903" t="str">
        <f>"8133T2"</f>
        <v>8133T2</v>
      </c>
      <c r="B2903" t="s">
        <v>5687</v>
      </c>
      <c r="C2903" t="s">
        <v>5688</v>
      </c>
    </row>
    <row r="2904" spans="1:3" x14ac:dyDescent="0.25">
      <c r="A2904" t="str">
        <f>"763207"</f>
        <v>763207</v>
      </c>
      <c r="B2904" t="s">
        <v>5689</v>
      </c>
      <c r="C2904" t="s">
        <v>5690</v>
      </c>
    </row>
    <row r="2905" spans="1:3" x14ac:dyDescent="0.25">
      <c r="A2905" t="str">
        <f>"01KS1 "</f>
        <v xml:space="preserve">01KS1 </v>
      </c>
      <c r="B2905" t="s">
        <v>5691</v>
      </c>
      <c r="C2905" t="s">
        <v>5692</v>
      </c>
    </row>
    <row r="2906" spans="1:3" x14ac:dyDescent="0.25">
      <c r="A2906" t="str">
        <f>"01KR1 "</f>
        <v xml:space="preserve">01KR1 </v>
      </c>
      <c r="B2906" t="s">
        <v>5693</v>
      </c>
      <c r="C2906" t="s">
        <v>5694</v>
      </c>
    </row>
    <row r="2907" spans="1:3" x14ac:dyDescent="0.25">
      <c r="A2907" t="str">
        <f>"01JW1 "</f>
        <v xml:space="preserve">01JW1 </v>
      </c>
      <c r="B2907" t="s">
        <v>5695</v>
      </c>
      <c r="C2907" t="s">
        <v>5696</v>
      </c>
    </row>
    <row r="2908" spans="1:3" x14ac:dyDescent="0.25">
      <c r="A2908" t="str">
        <f>"01JY32"</f>
        <v>01JY32</v>
      </c>
      <c r="B2908" t="s">
        <v>5697</v>
      </c>
      <c r="C2908" t="s">
        <v>5698</v>
      </c>
    </row>
    <row r="2909" spans="1:3" x14ac:dyDescent="0.25">
      <c r="A2909" t="str">
        <f>"764550"</f>
        <v>764550</v>
      </c>
      <c r="B2909" t="s">
        <v>5699</v>
      </c>
      <c r="C2909" t="s">
        <v>5700</v>
      </c>
    </row>
    <row r="2910" spans="1:3" x14ac:dyDescent="0.25">
      <c r="A2910" t="str">
        <f>"764551"</f>
        <v>764551</v>
      </c>
      <c r="B2910" t="s">
        <v>5701</v>
      </c>
      <c r="C2910" t="s">
        <v>5702</v>
      </c>
    </row>
    <row r="2911" spans="1:3" x14ac:dyDescent="0.25">
      <c r="A2911" t="str">
        <f>"01IV1 "</f>
        <v xml:space="preserve">01IV1 </v>
      </c>
      <c r="B2911" t="s">
        <v>5703</v>
      </c>
      <c r="C2911" t="s">
        <v>5704</v>
      </c>
    </row>
    <row r="2912" spans="1:3" x14ac:dyDescent="0.25">
      <c r="A2912" t="str">
        <f>"01IW1 "</f>
        <v xml:space="preserve">01IW1 </v>
      </c>
      <c r="B2912" t="s">
        <v>5705</v>
      </c>
      <c r="C2912" t="s">
        <v>5706</v>
      </c>
    </row>
    <row r="2913" spans="1:3" x14ac:dyDescent="0.25">
      <c r="A2913" t="str">
        <f>"01KX1 "</f>
        <v xml:space="preserve">01KX1 </v>
      </c>
      <c r="B2913" t="s">
        <v>5707</v>
      </c>
      <c r="C2913" t="s">
        <v>5708</v>
      </c>
    </row>
    <row r="2914" spans="1:3" x14ac:dyDescent="0.25">
      <c r="A2914" t="str">
        <f>"81936 "</f>
        <v xml:space="preserve">81936 </v>
      </c>
      <c r="B2914" t="s">
        <v>5709</v>
      </c>
      <c r="C2914" t="s">
        <v>5710</v>
      </c>
    </row>
    <row r="2915" spans="1:3" x14ac:dyDescent="0.25">
      <c r="A2915" t="str">
        <f>"01KT1 "</f>
        <v xml:space="preserve">01KT1 </v>
      </c>
      <c r="B2915" t="s">
        <v>5711</v>
      </c>
      <c r="C2915" t="s">
        <v>5712</v>
      </c>
    </row>
    <row r="2916" spans="1:3" x14ac:dyDescent="0.25">
      <c r="A2916" t="str">
        <f>"01KT2 "</f>
        <v xml:space="preserve">01KT2 </v>
      </c>
      <c r="B2916" t="s">
        <v>5713</v>
      </c>
      <c r="C2916" t="s">
        <v>5714</v>
      </c>
    </row>
    <row r="2917" spans="1:3" x14ac:dyDescent="0.25">
      <c r="A2917" t="str">
        <f>"01KZ1 "</f>
        <v xml:space="preserve">01KZ1 </v>
      </c>
      <c r="B2917" t="s">
        <v>5715</v>
      </c>
      <c r="C2917" t="s">
        <v>5716</v>
      </c>
    </row>
    <row r="2918" spans="1:3" x14ac:dyDescent="0.25">
      <c r="A2918" t="str">
        <f>"01H51 "</f>
        <v xml:space="preserve">01H51 </v>
      </c>
      <c r="B2918" t="s">
        <v>5717</v>
      </c>
      <c r="C2918" t="s">
        <v>5718</v>
      </c>
    </row>
    <row r="2919" spans="1:3" x14ac:dyDescent="0.25">
      <c r="A2919" t="str">
        <f>"01H52 "</f>
        <v xml:space="preserve">01H52 </v>
      </c>
      <c r="B2919" t="s">
        <v>5719</v>
      </c>
      <c r="C2919" t="s">
        <v>5720</v>
      </c>
    </row>
    <row r="2920" spans="1:3" x14ac:dyDescent="0.25">
      <c r="A2920" t="str">
        <f>"01KY1 "</f>
        <v xml:space="preserve">01KY1 </v>
      </c>
      <c r="B2920" t="s">
        <v>5721</v>
      </c>
      <c r="C2920" t="s">
        <v>5722</v>
      </c>
    </row>
    <row r="2921" spans="1:3" x14ac:dyDescent="0.25">
      <c r="A2921" t="str">
        <f>"01KV1 "</f>
        <v xml:space="preserve">01KV1 </v>
      </c>
      <c r="B2921" t="s">
        <v>5723</v>
      </c>
      <c r="C2921" t="s">
        <v>5724</v>
      </c>
    </row>
    <row r="2922" spans="1:3" x14ac:dyDescent="0.25">
      <c r="A2922" t="str">
        <f>"01KU1 "</f>
        <v xml:space="preserve">01KU1 </v>
      </c>
      <c r="B2922" t="s">
        <v>5725</v>
      </c>
      <c r="C2922" t="s">
        <v>5726</v>
      </c>
    </row>
    <row r="2923" spans="1:3" x14ac:dyDescent="0.25">
      <c r="A2923" t="str">
        <f>"01KW1 "</f>
        <v xml:space="preserve">01KW1 </v>
      </c>
      <c r="B2923" t="s">
        <v>5727</v>
      </c>
      <c r="C2923" t="s">
        <v>5728</v>
      </c>
    </row>
    <row r="2924" spans="1:3" x14ac:dyDescent="0.25">
      <c r="A2924" t="str">
        <f>"01K31 "</f>
        <v xml:space="preserve">01K31 </v>
      </c>
      <c r="B2924" t="s">
        <v>5729</v>
      </c>
      <c r="C2924" t="s">
        <v>4370</v>
      </c>
    </row>
    <row r="2925" spans="1:3" x14ac:dyDescent="0.25">
      <c r="A2925" t="str">
        <f>"01K41 "</f>
        <v xml:space="preserve">01K41 </v>
      </c>
      <c r="B2925" t="s">
        <v>5730</v>
      </c>
      <c r="C2925" t="s">
        <v>5731</v>
      </c>
    </row>
    <row r="2926" spans="1:3" x14ac:dyDescent="0.25">
      <c r="A2926" t="str">
        <f>"01K51 "</f>
        <v xml:space="preserve">01K51 </v>
      </c>
      <c r="B2926" t="s">
        <v>5732</v>
      </c>
      <c r="C2926" t="s">
        <v>5733</v>
      </c>
    </row>
    <row r="2927" spans="1:3" x14ac:dyDescent="0.25">
      <c r="A2927" t="str">
        <f>"01K61 "</f>
        <v xml:space="preserve">01K61 </v>
      </c>
      <c r="B2927" t="s">
        <v>5734</v>
      </c>
      <c r="C2927" t="s">
        <v>5735</v>
      </c>
    </row>
    <row r="2928" spans="1:3" x14ac:dyDescent="0.25">
      <c r="A2928" t="str">
        <f>"01K21 "</f>
        <v xml:space="preserve">01K21 </v>
      </c>
      <c r="B2928" t="s">
        <v>5736</v>
      </c>
      <c r="C2928" t="s">
        <v>5737</v>
      </c>
    </row>
    <row r="2929" spans="1:3" x14ac:dyDescent="0.25">
      <c r="A2929" t="str">
        <f>"01K71 "</f>
        <v xml:space="preserve">01K71 </v>
      </c>
      <c r="B2929" t="s">
        <v>5738</v>
      </c>
      <c r="C2929" t="s">
        <v>5739</v>
      </c>
    </row>
    <row r="2930" spans="1:3" x14ac:dyDescent="0.25">
      <c r="A2930" t="str">
        <f>"01GO3 "</f>
        <v xml:space="preserve">01GO3 </v>
      </c>
      <c r="B2930" t="s">
        <v>5740</v>
      </c>
      <c r="C2930" t="s">
        <v>5741</v>
      </c>
    </row>
    <row r="2931" spans="1:3" x14ac:dyDescent="0.25">
      <c r="A2931" t="str">
        <f>"01HA3 "</f>
        <v xml:space="preserve">01HA3 </v>
      </c>
      <c r="B2931" t="s">
        <v>5742</v>
      </c>
      <c r="C2931" t="s">
        <v>5743</v>
      </c>
    </row>
    <row r="2932" spans="1:3" x14ac:dyDescent="0.25">
      <c r="A2932" t="str">
        <f>"01HB3 "</f>
        <v xml:space="preserve">01HB3 </v>
      </c>
      <c r="B2932" t="s">
        <v>5744</v>
      </c>
      <c r="C2932" t="s">
        <v>5745</v>
      </c>
    </row>
    <row r="2933" spans="1:3" x14ac:dyDescent="0.25">
      <c r="A2933" t="str">
        <f>"01G95 "</f>
        <v xml:space="preserve">01G95 </v>
      </c>
      <c r="B2933" t="s">
        <v>5746</v>
      </c>
      <c r="C2933" t="s">
        <v>5747</v>
      </c>
    </row>
    <row r="2934" spans="1:3" x14ac:dyDescent="0.25">
      <c r="A2934" t="str">
        <f>"01G83 "</f>
        <v xml:space="preserve">01G83 </v>
      </c>
      <c r="B2934" t="s">
        <v>5748</v>
      </c>
      <c r="C2934" t="s">
        <v>5749</v>
      </c>
    </row>
    <row r="2935" spans="1:3" x14ac:dyDescent="0.25">
      <c r="A2935" t="str">
        <f>"81394 "</f>
        <v xml:space="preserve">81394 </v>
      </c>
      <c r="B2935" t="s">
        <v>5750</v>
      </c>
      <c r="C2935" t="s">
        <v>5751</v>
      </c>
    </row>
    <row r="2936" spans="1:3" x14ac:dyDescent="0.25">
      <c r="A2936" t="str">
        <f>"81404 "</f>
        <v xml:space="preserve">81404 </v>
      </c>
      <c r="B2936" t="s">
        <v>5752</v>
      </c>
      <c r="C2936" t="s">
        <v>5753</v>
      </c>
    </row>
    <row r="2937" spans="1:3" x14ac:dyDescent="0.25">
      <c r="A2937" t="str">
        <f>"01K81 "</f>
        <v xml:space="preserve">01K81 </v>
      </c>
      <c r="B2937" t="s">
        <v>5754</v>
      </c>
      <c r="C2937" t="s">
        <v>5755</v>
      </c>
    </row>
    <row r="2938" spans="1:3" x14ac:dyDescent="0.25">
      <c r="A2938" t="str">
        <f>"811857"</f>
        <v>811857</v>
      </c>
      <c r="B2938" t="s">
        <v>5756</v>
      </c>
      <c r="C2938" t="s">
        <v>5757</v>
      </c>
    </row>
    <row r="2939" spans="1:3" x14ac:dyDescent="0.25">
      <c r="A2939" t="str">
        <f>"01KB2 "</f>
        <v xml:space="preserve">01KB2 </v>
      </c>
      <c r="B2939" t="s">
        <v>5758</v>
      </c>
      <c r="C2939" t="s">
        <v>5759</v>
      </c>
    </row>
    <row r="2940" spans="1:3" x14ac:dyDescent="0.25">
      <c r="A2940" t="str">
        <f>"811858"</f>
        <v>811858</v>
      </c>
      <c r="B2940" t="s">
        <v>5760</v>
      </c>
      <c r="C2940" t="s">
        <v>5761</v>
      </c>
    </row>
    <row r="2941" spans="1:3" x14ac:dyDescent="0.25">
      <c r="A2941" t="str">
        <f>"01LM1 "</f>
        <v xml:space="preserve">01LM1 </v>
      </c>
      <c r="B2941" t="s">
        <v>5762</v>
      </c>
      <c r="C2941" t="s">
        <v>5763</v>
      </c>
    </row>
    <row r="2942" spans="1:3" x14ac:dyDescent="0.25">
      <c r="A2942" t="str">
        <f>"01K11 "</f>
        <v xml:space="preserve">01K11 </v>
      </c>
      <c r="B2942" t="s">
        <v>5764</v>
      </c>
      <c r="C2942" t="s">
        <v>5765</v>
      </c>
    </row>
    <row r="2943" spans="1:3" x14ac:dyDescent="0.25">
      <c r="A2943" t="str">
        <f>"01LF1 "</f>
        <v xml:space="preserve">01LF1 </v>
      </c>
      <c r="B2943" t="s">
        <v>5766</v>
      </c>
      <c r="C2943" t="s">
        <v>5767</v>
      </c>
    </row>
    <row r="2944" spans="1:3" x14ac:dyDescent="0.25">
      <c r="A2944" t="str">
        <f>"01LG1 "</f>
        <v xml:space="preserve">01LG1 </v>
      </c>
      <c r="B2944" t="s">
        <v>5768</v>
      </c>
      <c r="C2944" t="s">
        <v>5769</v>
      </c>
    </row>
    <row r="2945" spans="1:3" x14ac:dyDescent="0.25">
      <c r="A2945" t="str">
        <f>"01LK1 "</f>
        <v xml:space="preserve">01LK1 </v>
      </c>
      <c r="B2945" t="s">
        <v>5770</v>
      </c>
      <c r="C2945" t="s">
        <v>5771</v>
      </c>
    </row>
    <row r="2946" spans="1:3" x14ac:dyDescent="0.25">
      <c r="A2946" t="str">
        <f>"761309"</f>
        <v>761309</v>
      </c>
      <c r="B2946" t="s">
        <v>5772</v>
      </c>
      <c r="C2946" t="s">
        <v>5773</v>
      </c>
    </row>
    <row r="2947" spans="1:3" x14ac:dyDescent="0.25">
      <c r="A2947" t="str">
        <f>"764552"</f>
        <v>764552</v>
      </c>
      <c r="B2947" t="s">
        <v>5774</v>
      </c>
      <c r="C2947" t="s">
        <v>5775</v>
      </c>
    </row>
    <row r="2948" spans="1:3" x14ac:dyDescent="0.25">
      <c r="A2948" t="str">
        <f>"764553"</f>
        <v>764553</v>
      </c>
      <c r="B2948" t="s">
        <v>5776</v>
      </c>
      <c r="C2948" t="s">
        <v>5777</v>
      </c>
    </row>
    <row r="2949" spans="1:3" x14ac:dyDescent="0.25">
      <c r="A2949" t="str">
        <f>"764554"</f>
        <v>764554</v>
      </c>
      <c r="B2949" t="s">
        <v>5778</v>
      </c>
      <c r="C2949" t="s">
        <v>5779</v>
      </c>
    </row>
    <row r="2950" spans="1:3" x14ac:dyDescent="0.25">
      <c r="A2950" t="str">
        <f>"01LA1 "</f>
        <v xml:space="preserve">01LA1 </v>
      </c>
      <c r="B2950" t="s">
        <v>5780</v>
      </c>
      <c r="C2950" t="s">
        <v>5781</v>
      </c>
    </row>
    <row r="2951" spans="1:3" x14ac:dyDescent="0.25">
      <c r="A2951" t="str">
        <f>"01LP1 "</f>
        <v xml:space="preserve">01LP1 </v>
      </c>
      <c r="B2951" t="s">
        <v>5782</v>
      </c>
      <c r="C2951" t="s">
        <v>5783</v>
      </c>
    </row>
    <row r="2952" spans="1:3" x14ac:dyDescent="0.25">
      <c r="A2952" t="str">
        <f>"01LB1 "</f>
        <v xml:space="preserve">01LB1 </v>
      </c>
      <c r="B2952" t="s">
        <v>5784</v>
      </c>
      <c r="C2952" t="s">
        <v>5785</v>
      </c>
    </row>
    <row r="2953" spans="1:3" x14ac:dyDescent="0.25">
      <c r="A2953" t="str">
        <f>"763209"</f>
        <v>763209</v>
      </c>
      <c r="B2953" t="s">
        <v>5786</v>
      </c>
      <c r="C2953" t="s">
        <v>5787</v>
      </c>
    </row>
    <row r="2954" spans="1:3" x14ac:dyDescent="0.25">
      <c r="A2954" t="str">
        <f>"764555"</f>
        <v>764555</v>
      </c>
      <c r="B2954" t="s">
        <v>5788</v>
      </c>
      <c r="C2954" t="s">
        <v>5789</v>
      </c>
    </row>
    <row r="2955" spans="1:3" x14ac:dyDescent="0.25">
      <c r="A2955" t="str">
        <f>"81426 "</f>
        <v xml:space="preserve">81426 </v>
      </c>
      <c r="B2955" t="s">
        <v>5790</v>
      </c>
      <c r="C2955" t="s">
        <v>5791</v>
      </c>
    </row>
    <row r="2956" spans="1:3" x14ac:dyDescent="0.25">
      <c r="A2956" t="str">
        <f>"81427 "</f>
        <v xml:space="preserve">81427 </v>
      </c>
      <c r="B2956" t="s">
        <v>5792</v>
      </c>
      <c r="C2956" t="s">
        <v>5793</v>
      </c>
    </row>
    <row r="2957" spans="1:3" x14ac:dyDescent="0.25">
      <c r="A2957" t="str">
        <f>"811859"</f>
        <v>811859</v>
      </c>
      <c r="B2957" t="s">
        <v>5794</v>
      </c>
      <c r="C2957" t="s">
        <v>5795</v>
      </c>
    </row>
    <row r="2958" spans="1:3" x14ac:dyDescent="0.25">
      <c r="A2958" t="str">
        <f>"01LT1 "</f>
        <v xml:space="preserve">01LT1 </v>
      </c>
      <c r="B2958" t="s">
        <v>5796</v>
      </c>
      <c r="C2958" t="s">
        <v>5797</v>
      </c>
    </row>
    <row r="2959" spans="1:3" x14ac:dyDescent="0.25">
      <c r="A2959" t="str">
        <f>"01K91 "</f>
        <v xml:space="preserve">01K91 </v>
      </c>
      <c r="B2959" t="s">
        <v>5798</v>
      </c>
      <c r="C2959" t="s">
        <v>5799</v>
      </c>
    </row>
    <row r="2960" spans="1:3" x14ac:dyDescent="0.25">
      <c r="A2960" t="str">
        <f>"81877 "</f>
        <v xml:space="preserve">81877 </v>
      </c>
      <c r="B2960" t="s">
        <v>5800</v>
      </c>
      <c r="C2960" t="s">
        <v>5801</v>
      </c>
    </row>
    <row r="2961" spans="1:3" x14ac:dyDescent="0.25">
      <c r="A2961" t="str">
        <f>"81233 "</f>
        <v xml:space="preserve">81233 </v>
      </c>
      <c r="B2961" t="s">
        <v>5802</v>
      </c>
      <c r="C2961" t="s">
        <v>5803</v>
      </c>
    </row>
    <row r="2962" spans="1:3" x14ac:dyDescent="0.25">
      <c r="A2962" t="str">
        <f>"01LC1 "</f>
        <v xml:space="preserve">01LC1 </v>
      </c>
      <c r="B2962" t="s">
        <v>5804</v>
      </c>
      <c r="C2962" t="s">
        <v>5805</v>
      </c>
    </row>
    <row r="2963" spans="1:3" x14ac:dyDescent="0.25">
      <c r="A2963" t="str">
        <f>"01LD1 "</f>
        <v xml:space="preserve">01LD1 </v>
      </c>
      <c r="B2963" t="s">
        <v>5806</v>
      </c>
      <c r="C2963" t="s">
        <v>5807</v>
      </c>
    </row>
    <row r="2964" spans="1:3" x14ac:dyDescent="0.25">
      <c r="A2964" t="str">
        <f>"01LU1 "</f>
        <v xml:space="preserve">01LU1 </v>
      </c>
      <c r="B2964" t="s">
        <v>5808</v>
      </c>
      <c r="C2964" t="s">
        <v>5809</v>
      </c>
    </row>
    <row r="2965" spans="1:3" x14ac:dyDescent="0.25">
      <c r="A2965" t="str">
        <f>"01LO1 "</f>
        <v xml:space="preserve">01LO1 </v>
      </c>
      <c r="B2965" t="s">
        <v>5810</v>
      </c>
      <c r="C2965" t="s">
        <v>5811</v>
      </c>
    </row>
    <row r="2966" spans="1:3" x14ac:dyDescent="0.25">
      <c r="A2966" t="str">
        <f>"01LV1 "</f>
        <v xml:space="preserve">01LV1 </v>
      </c>
      <c r="B2966" t="s">
        <v>5812</v>
      </c>
      <c r="C2966" t="s">
        <v>5813</v>
      </c>
    </row>
    <row r="2967" spans="1:3" x14ac:dyDescent="0.25">
      <c r="A2967" t="str">
        <f>"01LN1 "</f>
        <v xml:space="preserve">01LN1 </v>
      </c>
      <c r="B2967" t="s">
        <v>5814</v>
      </c>
      <c r="C2967" t="s">
        <v>5815</v>
      </c>
    </row>
    <row r="2968" spans="1:3" x14ac:dyDescent="0.25">
      <c r="A2968" t="str">
        <f>"01LS1 "</f>
        <v xml:space="preserve">01LS1 </v>
      </c>
      <c r="B2968" t="s">
        <v>5816</v>
      </c>
      <c r="C2968" t="s">
        <v>5817</v>
      </c>
    </row>
    <row r="2969" spans="1:3" x14ac:dyDescent="0.25">
      <c r="A2969" t="str">
        <f>"01LR1 "</f>
        <v xml:space="preserve">01LR1 </v>
      </c>
      <c r="B2969" t="s">
        <v>5818</v>
      </c>
      <c r="C2969" t="s">
        <v>5819</v>
      </c>
    </row>
    <row r="2970" spans="1:3" x14ac:dyDescent="0.25">
      <c r="A2970" t="str">
        <f>"01LQ1 "</f>
        <v xml:space="preserve">01LQ1 </v>
      </c>
      <c r="B2970" t="s">
        <v>5820</v>
      </c>
      <c r="C2970" t="s">
        <v>5821</v>
      </c>
    </row>
    <row r="2971" spans="1:3" x14ac:dyDescent="0.25">
      <c r="A2971" t="str">
        <f>"01H53 "</f>
        <v xml:space="preserve">01H53 </v>
      </c>
      <c r="B2971" t="s">
        <v>5822</v>
      </c>
      <c r="C2971" t="s">
        <v>5823</v>
      </c>
    </row>
    <row r="2972" spans="1:3" x14ac:dyDescent="0.25">
      <c r="A2972" t="str">
        <f>"764556"</f>
        <v>764556</v>
      </c>
      <c r="B2972" t="s">
        <v>5824</v>
      </c>
      <c r="C2972" t="s">
        <v>5825</v>
      </c>
    </row>
    <row r="2973" spans="1:3" x14ac:dyDescent="0.25">
      <c r="A2973" t="str">
        <f>"764557"</f>
        <v>764557</v>
      </c>
      <c r="B2973" t="s">
        <v>5826</v>
      </c>
      <c r="C2973" t="s">
        <v>5827</v>
      </c>
    </row>
    <row r="2974" spans="1:3" x14ac:dyDescent="0.25">
      <c r="A2974" t="str">
        <f>"764558"</f>
        <v>764558</v>
      </c>
      <c r="B2974" t="s">
        <v>5828</v>
      </c>
      <c r="C2974" t="s">
        <v>5829</v>
      </c>
    </row>
    <row r="2975" spans="1:3" x14ac:dyDescent="0.25">
      <c r="A2975" t="str">
        <f>"763210"</f>
        <v>763210</v>
      </c>
      <c r="B2975" t="s">
        <v>5830</v>
      </c>
      <c r="C2975" t="s">
        <v>5831</v>
      </c>
    </row>
    <row r="2976" spans="1:3" x14ac:dyDescent="0.25">
      <c r="A2976" t="str">
        <f>"761310"</f>
        <v>761310</v>
      </c>
      <c r="B2976" t="s">
        <v>5832</v>
      </c>
      <c r="C2976" t="s">
        <v>5833</v>
      </c>
    </row>
    <row r="2977" spans="1:3" x14ac:dyDescent="0.25">
      <c r="A2977" t="str">
        <f>"01LX1 "</f>
        <v xml:space="preserve">01LX1 </v>
      </c>
      <c r="B2977" t="s">
        <v>5834</v>
      </c>
      <c r="C2977" t="s">
        <v>5835</v>
      </c>
    </row>
    <row r="2978" spans="1:3" x14ac:dyDescent="0.25">
      <c r="A2978" t="str">
        <f>"01LY1 "</f>
        <v xml:space="preserve">01LY1 </v>
      </c>
      <c r="B2978" t="s">
        <v>5836</v>
      </c>
      <c r="C2978" t="s">
        <v>5837</v>
      </c>
    </row>
    <row r="2979" spans="1:3" x14ac:dyDescent="0.25">
      <c r="A2979" t="str">
        <f>"01LW1 "</f>
        <v xml:space="preserve">01LW1 </v>
      </c>
      <c r="B2979" t="s">
        <v>5838</v>
      </c>
      <c r="C2979" t="s">
        <v>5839</v>
      </c>
    </row>
    <row r="2980" spans="1:3" x14ac:dyDescent="0.25">
      <c r="A2980" t="str">
        <f>"01IA2 "</f>
        <v xml:space="preserve">01IA2 </v>
      </c>
      <c r="B2980" t="s">
        <v>5840</v>
      </c>
      <c r="C2980" t="s">
        <v>5841</v>
      </c>
    </row>
    <row r="2981" spans="1:3" x14ac:dyDescent="0.25">
      <c r="A2981" t="str">
        <f>"01JY33"</f>
        <v>01JY33</v>
      </c>
      <c r="B2981" t="s">
        <v>5842</v>
      </c>
      <c r="C2981" t="s">
        <v>5843</v>
      </c>
    </row>
    <row r="2982" spans="1:3" x14ac:dyDescent="0.25">
      <c r="A2982" t="str">
        <f>"01K82 "</f>
        <v xml:space="preserve">01K82 </v>
      </c>
      <c r="B2982" t="s">
        <v>5844</v>
      </c>
      <c r="C2982" t="s">
        <v>5845</v>
      </c>
    </row>
    <row r="2983" spans="1:3" x14ac:dyDescent="0.25">
      <c r="A2983" t="str">
        <f>"01MC1 "</f>
        <v xml:space="preserve">01MC1 </v>
      </c>
      <c r="B2983" t="s">
        <v>5846</v>
      </c>
      <c r="C2983" t="s">
        <v>5847</v>
      </c>
    </row>
    <row r="2984" spans="1:3" x14ac:dyDescent="0.25">
      <c r="A2984" t="str">
        <f>"01LZ1 "</f>
        <v xml:space="preserve">01LZ1 </v>
      </c>
      <c r="B2984" t="s">
        <v>5848</v>
      </c>
      <c r="C2984" t="s">
        <v>5849</v>
      </c>
    </row>
    <row r="2985" spans="1:3" x14ac:dyDescent="0.25">
      <c r="A2985" t="str">
        <f>"01L81 "</f>
        <v xml:space="preserve">01L81 </v>
      </c>
      <c r="B2985" t="s">
        <v>5850</v>
      </c>
      <c r="C2985" t="s">
        <v>5851</v>
      </c>
    </row>
    <row r="2986" spans="1:3" x14ac:dyDescent="0.25">
      <c r="A2986" t="str">
        <f>"01L71 "</f>
        <v xml:space="preserve">01L71 </v>
      </c>
      <c r="B2986" t="s">
        <v>5852</v>
      </c>
      <c r="C2986" t="s">
        <v>5853</v>
      </c>
    </row>
    <row r="2987" spans="1:3" x14ac:dyDescent="0.25">
      <c r="A2987" t="str">
        <f>"01MD1 "</f>
        <v xml:space="preserve">01MD1 </v>
      </c>
      <c r="B2987" t="s">
        <v>5854</v>
      </c>
      <c r="C2987" t="s">
        <v>5855</v>
      </c>
    </row>
    <row r="2988" spans="1:3" x14ac:dyDescent="0.25">
      <c r="A2988" t="str">
        <f>"01G96 "</f>
        <v xml:space="preserve">01G96 </v>
      </c>
      <c r="B2988" t="s">
        <v>5856</v>
      </c>
      <c r="C2988" t="s">
        <v>5857</v>
      </c>
    </row>
    <row r="2989" spans="1:3" x14ac:dyDescent="0.25">
      <c r="A2989" t="str">
        <f>"01KE2 "</f>
        <v xml:space="preserve">01KE2 </v>
      </c>
      <c r="B2989" t="s">
        <v>5858</v>
      </c>
      <c r="C2989" t="s">
        <v>5859</v>
      </c>
    </row>
    <row r="2990" spans="1:3" x14ac:dyDescent="0.25">
      <c r="A2990" t="str">
        <f>"01KB3 "</f>
        <v xml:space="preserve">01KB3 </v>
      </c>
      <c r="B2990" t="s">
        <v>5860</v>
      </c>
      <c r="C2990" t="s">
        <v>5861</v>
      </c>
    </row>
    <row r="2991" spans="1:3" x14ac:dyDescent="0.25">
      <c r="A2991" t="str">
        <f>"764560"</f>
        <v>764560</v>
      </c>
      <c r="B2991" t="s">
        <v>5862</v>
      </c>
      <c r="C2991" t="s">
        <v>5863</v>
      </c>
    </row>
    <row r="2992" spans="1:3" x14ac:dyDescent="0.25">
      <c r="A2992" t="str">
        <f>"88029 "</f>
        <v xml:space="preserve">88029 </v>
      </c>
      <c r="B2992" t="s">
        <v>5864</v>
      </c>
      <c r="C2992" t="s">
        <v>5865</v>
      </c>
    </row>
    <row r="2993" spans="1:3" x14ac:dyDescent="0.25">
      <c r="A2993" t="str">
        <f>"01L91 "</f>
        <v xml:space="preserve">01L91 </v>
      </c>
      <c r="B2993" t="s">
        <v>5866</v>
      </c>
      <c r="C2993" t="s">
        <v>5867</v>
      </c>
    </row>
    <row r="2994" spans="1:3" x14ac:dyDescent="0.25">
      <c r="A2994" t="str">
        <f>"01MA1 "</f>
        <v xml:space="preserve">01MA1 </v>
      </c>
      <c r="B2994" t="s">
        <v>5868</v>
      </c>
      <c r="C2994" t="s">
        <v>5869</v>
      </c>
    </row>
    <row r="2995" spans="1:3" x14ac:dyDescent="0.25">
      <c r="A2995" t="str">
        <f>"01MB1 "</f>
        <v xml:space="preserve">01MB1 </v>
      </c>
      <c r="B2995" t="s">
        <v>5870</v>
      </c>
      <c r="C2995" t="s">
        <v>5871</v>
      </c>
    </row>
    <row r="2996" spans="1:3" x14ac:dyDescent="0.25">
      <c r="A2996" t="str">
        <f>"01LZ2 "</f>
        <v xml:space="preserve">01LZ2 </v>
      </c>
      <c r="B2996" t="s">
        <v>5872</v>
      </c>
      <c r="C2996" t="s">
        <v>5873</v>
      </c>
    </row>
    <row r="2997" spans="1:3" x14ac:dyDescent="0.25">
      <c r="A2997" t="str">
        <f>"01LZ3 "</f>
        <v xml:space="preserve">01LZ3 </v>
      </c>
      <c r="B2997" t="s">
        <v>5874</v>
      </c>
      <c r="C2997" t="s">
        <v>5875</v>
      </c>
    </row>
    <row r="2998" spans="1:3" x14ac:dyDescent="0.25">
      <c r="A2998" t="str">
        <f>"764559"</f>
        <v>764559</v>
      </c>
      <c r="B2998" t="s">
        <v>5876</v>
      </c>
      <c r="C2998" t="s">
        <v>5877</v>
      </c>
    </row>
    <row r="2999" spans="1:3" x14ac:dyDescent="0.25">
      <c r="A2999" t="str">
        <f>"763211"</f>
        <v>763211</v>
      </c>
      <c r="B2999" t="s">
        <v>5878</v>
      </c>
      <c r="C2999" t="s">
        <v>5879</v>
      </c>
    </row>
    <row r="3000" spans="1:3" x14ac:dyDescent="0.25">
      <c r="A3000" t="str">
        <f>"01ME1 "</f>
        <v xml:space="preserve">01ME1 </v>
      </c>
      <c r="B3000" t="s">
        <v>5880</v>
      </c>
      <c r="C3000" t="s">
        <v>5881</v>
      </c>
    </row>
    <row r="3001" spans="1:3" x14ac:dyDescent="0.25">
      <c r="A3001" t="str">
        <f>"01MI1 "</f>
        <v xml:space="preserve">01MI1 </v>
      </c>
      <c r="B3001" t="s">
        <v>5882</v>
      </c>
      <c r="C3001" t="s">
        <v>5883</v>
      </c>
    </row>
    <row r="3002" spans="1:3" x14ac:dyDescent="0.25">
      <c r="A3002" t="str">
        <f>"01MJ1 "</f>
        <v xml:space="preserve">01MJ1 </v>
      </c>
      <c r="B3002" t="s">
        <v>5884</v>
      </c>
      <c r="C3002" t="s">
        <v>5885</v>
      </c>
    </row>
    <row r="3003" spans="1:3" x14ac:dyDescent="0.25">
      <c r="A3003" t="str">
        <f>"01L61 "</f>
        <v xml:space="preserve">01L61 </v>
      </c>
      <c r="B3003" t="s">
        <v>5886</v>
      </c>
      <c r="C3003" t="s">
        <v>5887</v>
      </c>
    </row>
    <row r="3004" spans="1:3" x14ac:dyDescent="0.25">
      <c r="A3004" t="str">
        <f>"01MS1 "</f>
        <v xml:space="preserve">01MS1 </v>
      </c>
      <c r="B3004" t="s">
        <v>5888</v>
      </c>
      <c r="C3004" t="s">
        <v>5889</v>
      </c>
    </row>
    <row r="3005" spans="1:3" x14ac:dyDescent="0.25">
      <c r="A3005" t="str">
        <f>"01MQ1 "</f>
        <v xml:space="preserve">01MQ1 </v>
      </c>
      <c r="B3005" t="s">
        <v>5890</v>
      </c>
      <c r="C3005" t="s">
        <v>5891</v>
      </c>
    </row>
    <row r="3006" spans="1:3" x14ac:dyDescent="0.25">
      <c r="A3006" t="str">
        <f>"01MR1 "</f>
        <v xml:space="preserve">01MR1 </v>
      </c>
      <c r="B3006" t="s">
        <v>5892</v>
      </c>
      <c r="C3006" t="s">
        <v>5893</v>
      </c>
    </row>
    <row r="3007" spans="1:3" x14ac:dyDescent="0.25">
      <c r="A3007" t="str">
        <f>"01MP1 "</f>
        <v xml:space="preserve">01MP1 </v>
      </c>
      <c r="B3007" t="s">
        <v>5894</v>
      </c>
      <c r="C3007" t="s">
        <v>5895</v>
      </c>
    </row>
    <row r="3008" spans="1:3" x14ac:dyDescent="0.25">
      <c r="A3008" t="str">
        <f>"01MY1 "</f>
        <v xml:space="preserve">01MY1 </v>
      </c>
      <c r="B3008" t="s">
        <v>5896</v>
      </c>
      <c r="C3008" t="s">
        <v>5897</v>
      </c>
    </row>
    <row r="3009" spans="1:3" x14ac:dyDescent="0.25">
      <c r="A3009" t="str">
        <f>"01MU1 "</f>
        <v xml:space="preserve">01MU1 </v>
      </c>
      <c r="B3009" t="s">
        <v>5898</v>
      </c>
      <c r="C3009" t="s">
        <v>5899</v>
      </c>
    </row>
    <row r="3010" spans="1:3" x14ac:dyDescent="0.25">
      <c r="A3010" t="str">
        <f>"01MT1 "</f>
        <v xml:space="preserve">01MT1 </v>
      </c>
      <c r="B3010" t="s">
        <v>5900</v>
      </c>
      <c r="C3010" t="s">
        <v>5901</v>
      </c>
    </row>
    <row r="3011" spans="1:3" x14ac:dyDescent="0.25">
      <c r="A3011" t="str">
        <f>"01MW1 "</f>
        <v xml:space="preserve">01MW1 </v>
      </c>
      <c r="B3011" t="s">
        <v>5902</v>
      </c>
      <c r="C3011" t="s">
        <v>5903</v>
      </c>
    </row>
    <row r="3012" spans="1:3" x14ac:dyDescent="0.25">
      <c r="A3012" t="str">
        <f>"01MV1 "</f>
        <v xml:space="preserve">01MV1 </v>
      </c>
      <c r="B3012" t="s">
        <v>5904</v>
      </c>
      <c r="C3012" t="s">
        <v>5905</v>
      </c>
    </row>
    <row r="3013" spans="1:3" x14ac:dyDescent="0.25">
      <c r="A3013" t="str">
        <f>"01MX1 "</f>
        <v xml:space="preserve">01MX1 </v>
      </c>
      <c r="B3013" t="s">
        <v>5906</v>
      </c>
      <c r="C3013" t="s">
        <v>5907</v>
      </c>
    </row>
    <row r="3014" spans="1:3" x14ac:dyDescent="0.25">
      <c r="A3014" t="str">
        <f>"01MK1 "</f>
        <v xml:space="preserve">01MK1 </v>
      </c>
      <c r="B3014" t="s">
        <v>5908</v>
      </c>
      <c r="C3014" t="s">
        <v>5909</v>
      </c>
    </row>
    <row r="3015" spans="1:3" x14ac:dyDescent="0.25">
      <c r="A3015" t="str">
        <f>"01MG1 "</f>
        <v xml:space="preserve">01MG1 </v>
      </c>
      <c r="B3015" t="s">
        <v>5910</v>
      </c>
      <c r="C3015" t="s">
        <v>5911</v>
      </c>
    </row>
    <row r="3016" spans="1:3" x14ac:dyDescent="0.25">
      <c r="A3016" t="str">
        <f>"01MF1 "</f>
        <v xml:space="preserve">01MF1 </v>
      </c>
      <c r="B3016" t="s">
        <v>5912</v>
      </c>
      <c r="C3016" t="s">
        <v>5913</v>
      </c>
    </row>
    <row r="3017" spans="1:3" x14ac:dyDescent="0.25">
      <c r="A3017" t="str">
        <f>"01ML1 "</f>
        <v xml:space="preserve">01ML1 </v>
      </c>
      <c r="B3017" t="s">
        <v>5914</v>
      </c>
      <c r="C3017" t="s">
        <v>5915</v>
      </c>
    </row>
    <row r="3018" spans="1:3" x14ac:dyDescent="0.25">
      <c r="A3018" t="str">
        <f>"01M21 "</f>
        <v xml:space="preserve">01M21 </v>
      </c>
      <c r="B3018" t="s">
        <v>5916</v>
      </c>
      <c r="C3018" t="s">
        <v>5917</v>
      </c>
    </row>
    <row r="3019" spans="1:3" x14ac:dyDescent="0.25">
      <c r="A3019" t="str">
        <f>"01MZ1 "</f>
        <v xml:space="preserve">01MZ1 </v>
      </c>
      <c r="B3019" t="s">
        <v>5918</v>
      </c>
      <c r="C3019" t="s">
        <v>5919</v>
      </c>
    </row>
    <row r="3020" spans="1:3" x14ac:dyDescent="0.25">
      <c r="A3020" t="str">
        <f>"01M31 "</f>
        <v xml:space="preserve">01M31 </v>
      </c>
      <c r="B3020" t="s">
        <v>5920</v>
      </c>
      <c r="C3020" t="s">
        <v>5921</v>
      </c>
    </row>
    <row r="3021" spans="1:3" x14ac:dyDescent="0.25">
      <c r="A3021" t="str">
        <f>"01M41 "</f>
        <v xml:space="preserve">01M41 </v>
      </c>
      <c r="B3021" t="s">
        <v>5922</v>
      </c>
      <c r="C3021" t="s">
        <v>5923</v>
      </c>
    </row>
    <row r="3022" spans="1:3" x14ac:dyDescent="0.25">
      <c r="A3022" t="str">
        <f>"01M71 "</f>
        <v xml:space="preserve">01M71 </v>
      </c>
      <c r="B3022" t="s">
        <v>5924</v>
      </c>
      <c r="C3022" t="s">
        <v>5925</v>
      </c>
    </row>
    <row r="3023" spans="1:3" x14ac:dyDescent="0.25">
      <c r="A3023" t="str">
        <f>"01M81 "</f>
        <v xml:space="preserve">01M81 </v>
      </c>
      <c r="B3023" t="s">
        <v>5926</v>
      </c>
      <c r="C3023" t="s">
        <v>5927</v>
      </c>
    </row>
    <row r="3024" spans="1:3" x14ac:dyDescent="0.25">
      <c r="A3024" t="str">
        <f>"01M91 "</f>
        <v xml:space="preserve">01M91 </v>
      </c>
      <c r="B3024" t="s">
        <v>5928</v>
      </c>
      <c r="C3024" t="s">
        <v>5929</v>
      </c>
    </row>
    <row r="3025" spans="1:3" x14ac:dyDescent="0.25">
      <c r="A3025" t="str">
        <f>"01NA1 "</f>
        <v xml:space="preserve">01NA1 </v>
      </c>
      <c r="B3025" t="s">
        <v>5930</v>
      </c>
      <c r="C3025" t="s">
        <v>5931</v>
      </c>
    </row>
    <row r="3026" spans="1:3" x14ac:dyDescent="0.25">
      <c r="A3026" t="str">
        <f>"01MM1 "</f>
        <v xml:space="preserve">01MM1 </v>
      </c>
      <c r="B3026" t="s">
        <v>5932</v>
      </c>
      <c r="C3026" t="s">
        <v>5933</v>
      </c>
    </row>
    <row r="3027" spans="1:3" x14ac:dyDescent="0.25">
      <c r="A3027" t="str">
        <f>"01M61 "</f>
        <v xml:space="preserve">01M61 </v>
      </c>
      <c r="B3027" t="s">
        <v>5934</v>
      </c>
      <c r="C3027" t="s">
        <v>5935</v>
      </c>
    </row>
    <row r="3028" spans="1:3" x14ac:dyDescent="0.25">
      <c r="A3028" t="str">
        <f>"01M51 "</f>
        <v xml:space="preserve">01M51 </v>
      </c>
      <c r="B3028" t="s">
        <v>5936</v>
      </c>
      <c r="C3028" t="s">
        <v>5937</v>
      </c>
    </row>
    <row r="3029" spans="1:3" x14ac:dyDescent="0.25">
      <c r="A3029" t="str">
        <f>"81937 "</f>
        <v xml:space="preserve">81937 </v>
      </c>
      <c r="B3029" t="s">
        <v>5938</v>
      </c>
      <c r="C3029" t="s">
        <v>5939</v>
      </c>
    </row>
    <row r="3030" spans="1:3" x14ac:dyDescent="0.25">
      <c r="A3030" t="str">
        <f>"01MH1 "</f>
        <v xml:space="preserve">01MH1 </v>
      </c>
      <c r="B3030" t="s">
        <v>5940</v>
      </c>
      <c r="C3030" t="s">
        <v>5941</v>
      </c>
    </row>
    <row r="3031" spans="1:3" x14ac:dyDescent="0.25">
      <c r="A3031" t="str">
        <f>"01MO1 "</f>
        <v xml:space="preserve">01MO1 </v>
      </c>
      <c r="B3031" t="s">
        <v>5942</v>
      </c>
      <c r="C3031" t="s">
        <v>5943</v>
      </c>
    </row>
    <row r="3032" spans="1:3" x14ac:dyDescent="0.25">
      <c r="A3032" t="str">
        <f>"01L51 "</f>
        <v xml:space="preserve">01L51 </v>
      </c>
      <c r="B3032" t="s">
        <v>5944</v>
      </c>
      <c r="C3032" t="s">
        <v>5945</v>
      </c>
    </row>
    <row r="3033" spans="1:3" x14ac:dyDescent="0.25">
      <c r="A3033" t="str">
        <f>"01MC2 "</f>
        <v xml:space="preserve">01MC2 </v>
      </c>
      <c r="B3033" t="s">
        <v>5946</v>
      </c>
      <c r="C3033" t="s">
        <v>5947</v>
      </c>
    </row>
    <row r="3034" spans="1:3" x14ac:dyDescent="0.25">
      <c r="A3034" t="str">
        <f>"01K83 "</f>
        <v xml:space="preserve">01K83 </v>
      </c>
      <c r="B3034" t="s">
        <v>5948</v>
      </c>
      <c r="C3034" t="s">
        <v>774</v>
      </c>
    </row>
    <row r="3035" spans="1:3" x14ac:dyDescent="0.25">
      <c r="A3035" t="str">
        <f>"01L31 "</f>
        <v xml:space="preserve">01L31 </v>
      </c>
      <c r="B3035" t="s">
        <v>5949</v>
      </c>
      <c r="C3035" t="s">
        <v>5950</v>
      </c>
    </row>
    <row r="3036" spans="1:3" x14ac:dyDescent="0.25">
      <c r="A3036" t="str">
        <f>"01L41 "</f>
        <v xml:space="preserve">01L41 </v>
      </c>
      <c r="B3036" t="s">
        <v>5951</v>
      </c>
      <c r="C3036" t="s">
        <v>5952</v>
      </c>
    </row>
    <row r="3037" spans="1:3" x14ac:dyDescent="0.25">
      <c r="A3037" t="str">
        <f>"01NB1 "</f>
        <v xml:space="preserve">01NB1 </v>
      </c>
      <c r="B3037" t="s">
        <v>5953</v>
      </c>
      <c r="C3037" t="s">
        <v>5954</v>
      </c>
    </row>
    <row r="3038" spans="1:3" x14ac:dyDescent="0.25">
      <c r="A3038" t="str">
        <f>"01NC1 "</f>
        <v xml:space="preserve">01NC1 </v>
      </c>
      <c r="B3038" t="s">
        <v>5955</v>
      </c>
      <c r="C3038" t="s">
        <v>5956</v>
      </c>
    </row>
    <row r="3039" spans="1:3" x14ac:dyDescent="0.25">
      <c r="A3039" t="str">
        <f>"01M11 "</f>
        <v xml:space="preserve">01M11 </v>
      </c>
      <c r="B3039" t="s">
        <v>5957</v>
      </c>
      <c r="C3039" t="s">
        <v>5958</v>
      </c>
    </row>
    <row r="3040" spans="1:3" x14ac:dyDescent="0.25">
      <c r="A3040" t="str">
        <f>"81612 "</f>
        <v xml:space="preserve">81612 </v>
      </c>
      <c r="B3040" t="s">
        <v>5959</v>
      </c>
      <c r="C3040" t="s">
        <v>5960</v>
      </c>
    </row>
    <row r="3041" spans="1:3" x14ac:dyDescent="0.25">
      <c r="A3041" t="str">
        <f>"01JX4 "</f>
        <v xml:space="preserve">01JX4 </v>
      </c>
      <c r="B3041" t="s">
        <v>5961</v>
      </c>
      <c r="C3041" t="s">
        <v>5962</v>
      </c>
    </row>
    <row r="3042" spans="1:3" x14ac:dyDescent="0.25">
      <c r="A3042" t="str">
        <f>"01FK3 "</f>
        <v xml:space="preserve">01FK3 </v>
      </c>
      <c r="B3042" t="s">
        <v>5963</v>
      </c>
      <c r="C3042" t="s">
        <v>5964</v>
      </c>
    </row>
    <row r="3043" spans="1:3" x14ac:dyDescent="0.25">
      <c r="A3043" t="str">
        <f>"763212"</f>
        <v>763212</v>
      </c>
      <c r="B3043" t="s">
        <v>5965</v>
      </c>
      <c r="C3043" t="s">
        <v>5966</v>
      </c>
    </row>
    <row r="3044" spans="1:3" x14ac:dyDescent="0.25">
      <c r="A3044" t="str">
        <f>"01NE1 "</f>
        <v xml:space="preserve">01NE1 </v>
      </c>
      <c r="B3044" t="s">
        <v>5967</v>
      </c>
      <c r="C3044" t="s">
        <v>5968</v>
      </c>
    </row>
    <row r="3045" spans="1:3" x14ac:dyDescent="0.25">
      <c r="A3045" t="str">
        <f>"01ND1 "</f>
        <v xml:space="preserve">01ND1 </v>
      </c>
      <c r="B3045" t="s">
        <v>5969</v>
      </c>
      <c r="C3045" t="s">
        <v>5970</v>
      </c>
    </row>
    <row r="3046" spans="1:3" x14ac:dyDescent="0.25">
      <c r="A3046" t="str">
        <f>"01ND2 "</f>
        <v xml:space="preserve">01ND2 </v>
      </c>
      <c r="B3046" t="s">
        <v>5971</v>
      </c>
      <c r="C3046" t="s">
        <v>5972</v>
      </c>
    </row>
    <row r="3047" spans="1:3" x14ac:dyDescent="0.25">
      <c r="A3047" t="str">
        <f>"764561"</f>
        <v>764561</v>
      </c>
      <c r="B3047" t="s">
        <v>5973</v>
      </c>
      <c r="C3047" t="s">
        <v>5974</v>
      </c>
    </row>
    <row r="3048" spans="1:3" x14ac:dyDescent="0.25">
      <c r="A3048" t="str">
        <f>"763213"</f>
        <v>763213</v>
      </c>
      <c r="B3048" t="s">
        <v>5975</v>
      </c>
      <c r="C3048" t="s">
        <v>5976</v>
      </c>
    </row>
    <row r="3049" spans="1:3" x14ac:dyDescent="0.25">
      <c r="A3049" t="str">
        <f>"01JY34"</f>
        <v>01JY34</v>
      </c>
      <c r="B3049" t="s">
        <v>5977</v>
      </c>
      <c r="C3049" t="s">
        <v>5978</v>
      </c>
    </row>
    <row r="3050" spans="1:3" x14ac:dyDescent="0.25">
      <c r="A3050" t="str">
        <f>"01NG1 "</f>
        <v xml:space="preserve">01NG1 </v>
      </c>
      <c r="B3050" t="s">
        <v>5979</v>
      </c>
      <c r="C3050" t="s">
        <v>5980</v>
      </c>
    </row>
    <row r="3051" spans="1:3" x14ac:dyDescent="0.25">
      <c r="A3051" t="str">
        <f>"01NG2 "</f>
        <v xml:space="preserve">01NG2 </v>
      </c>
      <c r="B3051" t="s">
        <v>5981</v>
      </c>
      <c r="C3051" t="s">
        <v>5982</v>
      </c>
    </row>
    <row r="3052" spans="1:3" x14ac:dyDescent="0.25">
      <c r="A3052" t="str">
        <f>"764562"</f>
        <v>764562</v>
      </c>
      <c r="B3052" t="s">
        <v>5983</v>
      </c>
      <c r="C3052" t="s">
        <v>5984</v>
      </c>
    </row>
    <row r="3053" spans="1:3" x14ac:dyDescent="0.25">
      <c r="A3053" t="str">
        <f>"81313 "</f>
        <v xml:space="preserve">81313 </v>
      </c>
      <c r="B3053" t="s">
        <v>5985</v>
      </c>
      <c r="C3053" t="s">
        <v>5986</v>
      </c>
    </row>
    <row r="3054" spans="1:3" x14ac:dyDescent="0.25">
      <c r="A3054" t="str">
        <f>"01NM1 "</f>
        <v xml:space="preserve">01NM1 </v>
      </c>
      <c r="B3054" t="s">
        <v>5987</v>
      </c>
      <c r="C3054" t="s">
        <v>5988</v>
      </c>
    </row>
    <row r="3055" spans="1:3" x14ac:dyDescent="0.25">
      <c r="A3055" t="str">
        <f>"01NJ1 "</f>
        <v xml:space="preserve">01NJ1 </v>
      </c>
      <c r="B3055" t="s">
        <v>5989</v>
      </c>
      <c r="C3055" t="s">
        <v>5990</v>
      </c>
    </row>
    <row r="3056" spans="1:3" x14ac:dyDescent="0.25">
      <c r="A3056" t="str">
        <f>"8127M1"</f>
        <v>8127M1</v>
      </c>
      <c r="B3056" t="s">
        <v>5991</v>
      </c>
      <c r="C3056" t="s">
        <v>5992</v>
      </c>
    </row>
    <row r="3057" spans="1:3" x14ac:dyDescent="0.25">
      <c r="A3057" t="str">
        <f>"01GSM1"</f>
        <v>01GSM1</v>
      </c>
      <c r="B3057" t="s">
        <v>5993</v>
      </c>
      <c r="C3057" t="s">
        <v>5994</v>
      </c>
    </row>
    <row r="3058" spans="1:3" x14ac:dyDescent="0.25">
      <c r="A3058" t="str">
        <f>"8131M1"</f>
        <v>8131M1</v>
      </c>
      <c r="B3058" t="s">
        <v>5995</v>
      </c>
      <c r="C3058" t="s">
        <v>5996</v>
      </c>
    </row>
    <row r="3059" spans="1:3" x14ac:dyDescent="0.25">
      <c r="A3059" t="str">
        <f>"8128M1"</f>
        <v>8128M1</v>
      </c>
      <c r="B3059" t="s">
        <v>5997</v>
      </c>
      <c r="C3059" t="s">
        <v>5998</v>
      </c>
    </row>
    <row r="3060" spans="1:3" x14ac:dyDescent="0.25">
      <c r="A3060" t="str">
        <f>"01NL1 "</f>
        <v xml:space="preserve">01NL1 </v>
      </c>
      <c r="B3060" t="s">
        <v>5999</v>
      </c>
      <c r="C3060" t="s">
        <v>6000</v>
      </c>
    </row>
    <row r="3061" spans="1:3" x14ac:dyDescent="0.25">
      <c r="A3061" t="str">
        <f>"01NK1 "</f>
        <v xml:space="preserve">01NK1 </v>
      </c>
      <c r="B3061" t="s">
        <v>6001</v>
      </c>
      <c r="C3061" t="s">
        <v>6002</v>
      </c>
    </row>
    <row r="3062" spans="1:3" x14ac:dyDescent="0.25">
      <c r="A3062" t="str">
        <f>"01IM2 "</f>
        <v xml:space="preserve">01IM2 </v>
      </c>
      <c r="B3062" t="s">
        <v>6003</v>
      </c>
      <c r="C3062" t="s">
        <v>6004</v>
      </c>
    </row>
    <row r="3063" spans="1:3" x14ac:dyDescent="0.25">
      <c r="A3063" t="str">
        <f>"761311"</f>
        <v>761311</v>
      </c>
      <c r="B3063" t="s">
        <v>6005</v>
      </c>
      <c r="C3063" t="s">
        <v>6006</v>
      </c>
    </row>
    <row r="3064" spans="1:3" x14ac:dyDescent="0.25">
      <c r="A3064" t="str">
        <f>"768008"</f>
        <v>768008</v>
      </c>
      <c r="B3064" t="s">
        <v>6007</v>
      </c>
      <c r="C3064" t="s">
        <v>6008</v>
      </c>
    </row>
    <row r="3065" spans="1:3" x14ac:dyDescent="0.25">
      <c r="A3065" t="str">
        <f>"768009"</f>
        <v>768009</v>
      </c>
      <c r="B3065" t="s">
        <v>6009</v>
      </c>
      <c r="C3065" t="s">
        <v>6010</v>
      </c>
    </row>
    <row r="3066" spans="1:3" x14ac:dyDescent="0.25">
      <c r="A3066" t="str">
        <f>"01NO1 "</f>
        <v xml:space="preserve">01NO1 </v>
      </c>
      <c r="B3066" t="s">
        <v>6011</v>
      </c>
      <c r="C3066" t="s">
        <v>6012</v>
      </c>
    </row>
    <row r="3067" spans="1:3" x14ac:dyDescent="0.25">
      <c r="A3067" t="str">
        <f>"01NO2 "</f>
        <v xml:space="preserve">01NO2 </v>
      </c>
      <c r="B3067" t="s">
        <v>6013</v>
      </c>
      <c r="C3067" t="s">
        <v>6014</v>
      </c>
    </row>
    <row r="3068" spans="1:3" x14ac:dyDescent="0.25">
      <c r="A3068" t="str">
        <f>"01NP1 "</f>
        <v xml:space="preserve">01NP1 </v>
      </c>
      <c r="B3068" t="s">
        <v>6015</v>
      </c>
      <c r="C3068" t="s">
        <v>6016</v>
      </c>
    </row>
    <row r="3069" spans="1:3" x14ac:dyDescent="0.25">
      <c r="A3069" t="str">
        <f>"01NP2 "</f>
        <v xml:space="preserve">01NP2 </v>
      </c>
      <c r="B3069" t="s">
        <v>6017</v>
      </c>
      <c r="C3069" t="s">
        <v>6018</v>
      </c>
    </row>
    <row r="3070" spans="1:3" x14ac:dyDescent="0.25">
      <c r="A3070" t="str">
        <f>"01NQ1 "</f>
        <v xml:space="preserve">01NQ1 </v>
      </c>
      <c r="B3070" t="s">
        <v>6019</v>
      </c>
      <c r="C3070" t="s">
        <v>6020</v>
      </c>
    </row>
    <row r="3071" spans="1:3" x14ac:dyDescent="0.25">
      <c r="A3071" t="str">
        <f>"01NQ2 "</f>
        <v xml:space="preserve">01NQ2 </v>
      </c>
      <c r="B3071" t="s">
        <v>6021</v>
      </c>
      <c r="C3071" t="s">
        <v>6022</v>
      </c>
    </row>
    <row r="3072" spans="1:3" x14ac:dyDescent="0.25">
      <c r="A3072" t="str">
        <f>"764563"</f>
        <v>764563</v>
      </c>
      <c r="B3072" t="s">
        <v>6023</v>
      </c>
      <c r="C3072" t="s">
        <v>6024</v>
      </c>
    </row>
    <row r="3073" spans="1:3" x14ac:dyDescent="0.25">
      <c r="A3073" t="str">
        <f>"01NR1 "</f>
        <v xml:space="preserve">01NR1 </v>
      </c>
      <c r="B3073" t="s">
        <v>6025</v>
      </c>
      <c r="C3073" t="s">
        <v>6026</v>
      </c>
    </row>
    <row r="3074" spans="1:3" x14ac:dyDescent="0.25">
      <c r="A3074" t="str">
        <f>"764564"</f>
        <v>764564</v>
      </c>
      <c r="B3074" t="s">
        <v>6027</v>
      </c>
      <c r="C3074" t="s">
        <v>6028</v>
      </c>
    </row>
    <row r="3075" spans="1:3" x14ac:dyDescent="0.25">
      <c r="A3075" t="str">
        <f>"764565"</f>
        <v>764565</v>
      </c>
      <c r="B3075" t="s">
        <v>6029</v>
      </c>
      <c r="C3075" t="s">
        <v>6030</v>
      </c>
    </row>
    <row r="3076" spans="1:3" x14ac:dyDescent="0.25">
      <c r="A3076" t="str">
        <f>"02006 "</f>
        <v xml:space="preserve">02006 </v>
      </c>
      <c r="B3076" t="s">
        <v>6031</v>
      </c>
      <c r="C3076" t="s">
        <v>6032</v>
      </c>
    </row>
    <row r="3077" spans="1:3" x14ac:dyDescent="0.25">
      <c r="A3077" t="str">
        <f>"01NS1 "</f>
        <v xml:space="preserve">01NS1 </v>
      </c>
      <c r="B3077" t="s">
        <v>6033</v>
      </c>
      <c r="C3077" t="s">
        <v>6034</v>
      </c>
    </row>
    <row r="3078" spans="1:3" x14ac:dyDescent="0.25">
      <c r="A3078" t="str">
        <f>"01NT1 "</f>
        <v xml:space="preserve">01NT1 </v>
      </c>
      <c r="B3078" t="s">
        <v>6035</v>
      </c>
      <c r="C3078" t="s">
        <v>6036</v>
      </c>
    </row>
    <row r="3079" spans="1:3" x14ac:dyDescent="0.25">
      <c r="A3079" t="str">
        <f>"81613 "</f>
        <v xml:space="preserve">81613 </v>
      </c>
      <c r="B3079" t="s">
        <v>6037</v>
      </c>
      <c r="C3079" t="s">
        <v>5845</v>
      </c>
    </row>
    <row r="3080" spans="1:3" x14ac:dyDescent="0.25">
      <c r="A3080" t="str">
        <f>"81614 "</f>
        <v xml:space="preserve">81614 </v>
      </c>
      <c r="B3080" t="s">
        <v>6038</v>
      </c>
      <c r="C3080" t="s">
        <v>6039</v>
      </c>
    </row>
    <row r="3081" spans="1:3" x14ac:dyDescent="0.25">
      <c r="A3081" t="str">
        <f>"81615 "</f>
        <v xml:space="preserve">81615 </v>
      </c>
      <c r="B3081" t="s">
        <v>6040</v>
      </c>
      <c r="C3081" t="s">
        <v>6041</v>
      </c>
    </row>
    <row r="3082" spans="1:3" x14ac:dyDescent="0.25">
      <c r="A3082" t="str">
        <f>"811860"</f>
        <v>811860</v>
      </c>
      <c r="B3082" t="s">
        <v>6042</v>
      </c>
      <c r="C3082" t="s">
        <v>6043</v>
      </c>
    </row>
    <row r="3083" spans="1:3" x14ac:dyDescent="0.25">
      <c r="A3083" t="str">
        <f>"811861"</f>
        <v>811861</v>
      </c>
      <c r="B3083" t="s">
        <v>6044</v>
      </c>
      <c r="C3083" t="s">
        <v>6045</v>
      </c>
    </row>
    <row r="3084" spans="1:3" x14ac:dyDescent="0.25">
      <c r="A3084" t="str">
        <f>"01NN1 "</f>
        <v xml:space="preserve">01NN1 </v>
      </c>
      <c r="B3084" t="s">
        <v>6046</v>
      </c>
      <c r="C3084" t="s">
        <v>6047</v>
      </c>
    </row>
    <row r="3085" spans="1:3" x14ac:dyDescent="0.25">
      <c r="A3085" t="str">
        <f>"01NN2 "</f>
        <v xml:space="preserve">01NN2 </v>
      </c>
      <c r="B3085" t="s">
        <v>6048</v>
      </c>
      <c r="C3085" t="s">
        <v>6049</v>
      </c>
    </row>
    <row r="3086" spans="1:3" x14ac:dyDescent="0.25">
      <c r="A3086" t="str">
        <f>"01NU1 "</f>
        <v xml:space="preserve">01NU1 </v>
      </c>
      <c r="B3086" t="s">
        <v>6050</v>
      </c>
      <c r="C3086" t="s">
        <v>6051</v>
      </c>
    </row>
    <row r="3087" spans="1:3" x14ac:dyDescent="0.25">
      <c r="A3087" t="str">
        <f>"01NW1 "</f>
        <v xml:space="preserve">01NW1 </v>
      </c>
      <c r="B3087" t="s">
        <v>6052</v>
      </c>
      <c r="C3087" t="s">
        <v>6053</v>
      </c>
    </row>
    <row r="3088" spans="1:3" x14ac:dyDescent="0.25">
      <c r="A3088" t="str">
        <f>"01NV1 "</f>
        <v xml:space="preserve">01NV1 </v>
      </c>
      <c r="B3088" t="s">
        <v>6054</v>
      </c>
      <c r="C3088" t="s">
        <v>6055</v>
      </c>
    </row>
    <row r="3089" spans="1:3" x14ac:dyDescent="0.25">
      <c r="A3089" t="str">
        <f>"01KE3 "</f>
        <v xml:space="preserve">01KE3 </v>
      </c>
      <c r="B3089" t="s">
        <v>6056</v>
      </c>
      <c r="C3089" t="s">
        <v>6057</v>
      </c>
    </row>
    <row r="3090" spans="1:3" x14ac:dyDescent="0.25">
      <c r="A3090" t="str">
        <f>"01N61 "</f>
        <v xml:space="preserve">01N61 </v>
      </c>
      <c r="B3090" t="s">
        <v>6058</v>
      </c>
      <c r="C3090" t="s">
        <v>6059</v>
      </c>
    </row>
    <row r="3091" spans="1:3" x14ac:dyDescent="0.25">
      <c r="A3091" t="str">
        <f>"01HQ2 "</f>
        <v xml:space="preserve">01HQ2 </v>
      </c>
      <c r="B3091" t="s">
        <v>6060</v>
      </c>
      <c r="C3091" t="s">
        <v>6061</v>
      </c>
    </row>
    <row r="3092" spans="1:3" x14ac:dyDescent="0.25">
      <c r="A3092" t="str">
        <f>"01N91 "</f>
        <v xml:space="preserve">01N91 </v>
      </c>
      <c r="B3092" t="s">
        <v>6062</v>
      </c>
      <c r="C3092" t="s">
        <v>6063</v>
      </c>
    </row>
    <row r="3093" spans="1:3" x14ac:dyDescent="0.25">
      <c r="A3093" t="str">
        <f>"01JV1 "</f>
        <v xml:space="preserve">01JV1 </v>
      </c>
      <c r="B3093" t="s">
        <v>6064</v>
      </c>
      <c r="C3093" t="s">
        <v>6065</v>
      </c>
    </row>
    <row r="3094" spans="1:3" x14ac:dyDescent="0.25">
      <c r="A3094" t="str">
        <f>"01JV2 "</f>
        <v xml:space="preserve">01JV2 </v>
      </c>
      <c r="B3094" t="s">
        <v>6066</v>
      </c>
      <c r="C3094" t="s">
        <v>6067</v>
      </c>
    </row>
    <row r="3095" spans="1:3" x14ac:dyDescent="0.25">
      <c r="A3095" t="str">
        <f>"01JV3 "</f>
        <v xml:space="preserve">01JV3 </v>
      </c>
      <c r="B3095" t="s">
        <v>6068</v>
      </c>
      <c r="C3095" t="s">
        <v>6069</v>
      </c>
    </row>
    <row r="3096" spans="1:3" x14ac:dyDescent="0.25">
      <c r="A3096" t="str">
        <f>"01N51 "</f>
        <v xml:space="preserve">01N51 </v>
      </c>
      <c r="B3096" t="s">
        <v>6070</v>
      </c>
      <c r="C3096" t="s">
        <v>6071</v>
      </c>
    </row>
    <row r="3097" spans="1:3" x14ac:dyDescent="0.25">
      <c r="A3097" t="str">
        <f>"01N52 "</f>
        <v xml:space="preserve">01N52 </v>
      </c>
      <c r="B3097" t="s">
        <v>6072</v>
      </c>
      <c r="C3097" t="s">
        <v>6073</v>
      </c>
    </row>
    <row r="3098" spans="1:3" x14ac:dyDescent="0.25">
      <c r="A3098" t="str">
        <f>"01JT1 "</f>
        <v xml:space="preserve">01JT1 </v>
      </c>
      <c r="B3098" t="s">
        <v>6074</v>
      </c>
      <c r="C3098" t="s">
        <v>6075</v>
      </c>
    </row>
    <row r="3099" spans="1:3" x14ac:dyDescent="0.25">
      <c r="A3099" t="str">
        <f>"01JU1 "</f>
        <v xml:space="preserve">01JU1 </v>
      </c>
      <c r="B3099" t="s">
        <v>6076</v>
      </c>
      <c r="C3099" t="s">
        <v>6077</v>
      </c>
    </row>
    <row r="3100" spans="1:3" x14ac:dyDescent="0.25">
      <c r="A3100" t="str">
        <f>"01N81 "</f>
        <v xml:space="preserve">01N81 </v>
      </c>
      <c r="B3100" t="s">
        <v>6078</v>
      </c>
      <c r="C3100" t="s">
        <v>6079</v>
      </c>
    </row>
    <row r="3101" spans="1:3" x14ac:dyDescent="0.25">
      <c r="A3101" t="str">
        <f>"01NY1 "</f>
        <v xml:space="preserve">01NY1 </v>
      </c>
      <c r="B3101" t="s">
        <v>6080</v>
      </c>
      <c r="C3101" t="s">
        <v>6081</v>
      </c>
    </row>
    <row r="3102" spans="1:3" x14ac:dyDescent="0.25">
      <c r="A3102" t="str">
        <f>"764566"</f>
        <v>764566</v>
      </c>
      <c r="B3102" t="s">
        <v>6082</v>
      </c>
      <c r="C3102" t="s">
        <v>6083</v>
      </c>
    </row>
    <row r="3103" spans="1:3" x14ac:dyDescent="0.25">
      <c r="A3103" t="str">
        <f>"762306"</f>
        <v>762306</v>
      </c>
      <c r="B3103" t="s">
        <v>6084</v>
      </c>
      <c r="C3103" t="s">
        <v>6085</v>
      </c>
    </row>
    <row r="3104" spans="1:3" x14ac:dyDescent="0.25">
      <c r="A3104" t="str">
        <f>"01N41 "</f>
        <v xml:space="preserve">01N41 </v>
      </c>
      <c r="B3104" t="s">
        <v>6086</v>
      </c>
      <c r="C3104" t="s">
        <v>6087</v>
      </c>
    </row>
    <row r="3105" spans="1:3" x14ac:dyDescent="0.25">
      <c r="A3105" t="str">
        <f>"01N42 "</f>
        <v xml:space="preserve">01N42 </v>
      </c>
      <c r="B3105" t="s">
        <v>6088</v>
      </c>
      <c r="C3105" t="s">
        <v>6089</v>
      </c>
    </row>
    <row r="3106" spans="1:3" x14ac:dyDescent="0.25">
      <c r="A3106" t="str">
        <f>"01N21 "</f>
        <v xml:space="preserve">01N21 </v>
      </c>
      <c r="B3106" t="s">
        <v>6090</v>
      </c>
      <c r="C3106" t="s">
        <v>6091</v>
      </c>
    </row>
    <row r="3107" spans="1:3" x14ac:dyDescent="0.25">
      <c r="A3107" t="str">
        <f>"01N22 "</f>
        <v xml:space="preserve">01N22 </v>
      </c>
      <c r="B3107" t="s">
        <v>6092</v>
      </c>
      <c r="C3107" t="s">
        <v>6093</v>
      </c>
    </row>
    <row r="3108" spans="1:3" x14ac:dyDescent="0.25">
      <c r="A3108" t="str">
        <f>"01OB1 "</f>
        <v xml:space="preserve">01OB1 </v>
      </c>
      <c r="B3108" t="s">
        <v>6094</v>
      </c>
      <c r="C3108" t="s">
        <v>6095</v>
      </c>
    </row>
    <row r="3109" spans="1:3" x14ac:dyDescent="0.25">
      <c r="A3109" t="str">
        <f>"01OC1 "</f>
        <v xml:space="preserve">01OC1 </v>
      </c>
      <c r="B3109" t="s">
        <v>6096</v>
      </c>
      <c r="C3109" t="s">
        <v>6097</v>
      </c>
    </row>
    <row r="3110" spans="1:3" x14ac:dyDescent="0.25">
      <c r="A3110" t="str">
        <f>"01N31 "</f>
        <v xml:space="preserve">01N31 </v>
      </c>
      <c r="B3110" t="s">
        <v>6098</v>
      </c>
      <c r="C3110" t="s">
        <v>6099</v>
      </c>
    </row>
    <row r="3111" spans="1:3" x14ac:dyDescent="0.25">
      <c r="A3111" t="str">
        <f>"01N11 "</f>
        <v xml:space="preserve">01N11 </v>
      </c>
      <c r="B3111" t="s">
        <v>6100</v>
      </c>
      <c r="C3111" t="s">
        <v>6101</v>
      </c>
    </row>
    <row r="3112" spans="1:3" x14ac:dyDescent="0.25">
      <c r="A3112" t="str">
        <f>"880212"</f>
        <v>880212</v>
      </c>
      <c r="B3112" t="s">
        <v>6102</v>
      </c>
      <c r="C3112" t="s">
        <v>6103</v>
      </c>
    </row>
    <row r="3113" spans="1:3" x14ac:dyDescent="0.25">
      <c r="A3113" t="str">
        <f>"01NX1 "</f>
        <v xml:space="preserve">01NX1 </v>
      </c>
      <c r="B3113" t="s">
        <v>6104</v>
      </c>
      <c r="C3113" t="s">
        <v>6105</v>
      </c>
    </row>
    <row r="3114" spans="1:3" x14ac:dyDescent="0.25">
      <c r="A3114" t="str">
        <f>"01FB4 "</f>
        <v xml:space="preserve">01FB4 </v>
      </c>
      <c r="B3114" t="s">
        <v>6106</v>
      </c>
      <c r="C3114" t="s">
        <v>6107</v>
      </c>
    </row>
    <row r="3115" spans="1:3" x14ac:dyDescent="0.25">
      <c r="A3115" t="str">
        <f>"01FB5 "</f>
        <v xml:space="preserve">01FB5 </v>
      </c>
      <c r="B3115" t="s">
        <v>6108</v>
      </c>
      <c r="C3115" t="s">
        <v>6109</v>
      </c>
    </row>
    <row r="3116" spans="1:3" x14ac:dyDescent="0.25">
      <c r="A3116" t="str">
        <f>"764567"</f>
        <v>764567</v>
      </c>
      <c r="B3116" t="s">
        <v>6110</v>
      </c>
      <c r="C3116" t="s">
        <v>6111</v>
      </c>
    </row>
    <row r="3117" spans="1:3" x14ac:dyDescent="0.25">
      <c r="A3117" t="str">
        <f>"761312"</f>
        <v>761312</v>
      </c>
      <c r="B3117" t="s">
        <v>6112</v>
      </c>
      <c r="C3117" t="s">
        <v>6113</v>
      </c>
    </row>
    <row r="3118" spans="1:3" x14ac:dyDescent="0.25">
      <c r="A3118" t="str">
        <f>"761313"</f>
        <v>761313</v>
      </c>
      <c r="B3118" t="s">
        <v>6114</v>
      </c>
      <c r="C3118" t="s">
        <v>6115</v>
      </c>
    </row>
    <row r="3119" spans="1:3" x14ac:dyDescent="0.25">
      <c r="A3119" t="str">
        <f>"01OA1 "</f>
        <v xml:space="preserve">01OA1 </v>
      </c>
      <c r="B3119" t="s">
        <v>6116</v>
      </c>
      <c r="C3119" t="s">
        <v>6117</v>
      </c>
    </row>
    <row r="3120" spans="1:3" x14ac:dyDescent="0.25">
      <c r="A3120" t="str">
        <f>"761315"</f>
        <v>761315</v>
      </c>
      <c r="B3120" t="s">
        <v>6118</v>
      </c>
      <c r="C3120" t="s">
        <v>6119</v>
      </c>
    </row>
    <row r="3121" spans="1:3" x14ac:dyDescent="0.25">
      <c r="A3121" t="str">
        <f>"761314"</f>
        <v>761314</v>
      </c>
      <c r="B3121" t="s">
        <v>6120</v>
      </c>
      <c r="C3121" t="s">
        <v>6121</v>
      </c>
    </row>
    <row r="3122" spans="1:3" x14ac:dyDescent="0.25">
      <c r="A3122" t="str">
        <f>"01OJ1 "</f>
        <v xml:space="preserve">01OJ1 </v>
      </c>
      <c r="B3122" t="s">
        <v>6122</v>
      </c>
      <c r="C3122" t="s">
        <v>6123</v>
      </c>
    </row>
    <row r="3123" spans="1:3" x14ac:dyDescent="0.25">
      <c r="A3123" t="str">
        <f>"01OE1 "</f>
        <v xml:space="preserve">01OE1 </v>
      </c>
      <c r="B3123" t="s">
        <v>6124</v>
      </c>
      <c r="C3123" t="s">
        <v>6125</v>
      </c>
    </row>
    <row r="3124" spans="1:3" x14ac:dyDescent="0.25">
      <c r="A3124" t="str">
        <f>"01OG1 "</f>
        <v xml:space="preserve">01OG1 </v>
      </c>
      <c r="B3124" t="s">
        <v>6126</v>
      </c>
      <c r="C3124" t="s">
        <v>6127</v>
      </c>
    </row>
    <row r="3125" spans="1:3" x14ac:dyDescent="0.25">
      <c r="A3125" t="str">
        <f>"01OF1 "</f>
        <v xml:space="preserve">01OF1 </v>
      </c>
      <c r="B3125" t="s">
        <v>6128</v>
      </c>
      <c r="C3125" t="s">
        <v>6129</v>
      </c>
    </row>
    <row r="3126" spans="1:3" x14ac:dyDescent="0.25">
      <c r="A3126" t="str">
        <f>"01OH1 "</f>
        <v xml:space="preserve">01OH1 </v>
      </c>
      <c r="B3126" t="s">
        <v>6130</v>
      </c>
      <c r="C3126" t="s">
        <v>6131</v>
      </c>
    </row>
    <row r="3127" spans="1:3" x14ac:dyDescent="0.25">
      <c r="A3127" t="str">
        <f>"01N71 "</f>
        <v xml:space="preserve">01N71 </v>
      </c>
      <c r="B3127" t="s">
        <v>6132</v>
      </c>
      <c r="C3127" t="s">
        <v>6133</v>
      </c>
    </row>
    <row r="3128" spans="1:3" x14ac:dyDescent="0.25">
      <c r="A3128" t="str">
        <f>"01OW1 "</f>
        <v xml:space="preserve">01OW1 </v>
      </c>
      <c r="B3128" t="s">
        <v>6134</v>
      </c>
      <c r="C3128" t="s">
        <v>6135</v>
      </c>
    </row>
    <row r="3129" spans="1:3" x14ac:dyDescent="0.25">
      <c r="A3129" t="str">
        <f>"01OS1 "</f>
        <v xml:space="preserve">01OS1 </v>
      </c>
      <c r="B3129" t="s">
        <v>6136</v>
      </c>
      <c r="C3129" t="s">
        <v>6137</v>
      </c>
    </row>
    <row r="3130" spans="1:3" x14ac:dyDescent="0.25">
      <c r="A3130" t="str">
        <f>"01OT1 "</f>
        <v xml:space="preserve">01OT1 </v>
      </c>
      <c r="B3130" t="s">
        <v>6138</v>
      </c>
      <c r="C3130" t="s">
        <v>6139</v>
      </c>
    </row>
    <row r="3131" spans="1:3" x14ac:dyDescent="0.25">
      <c r="A3131" t="str">
        <f>"88039 "</f>
        <v xml:space="preserve">88039 </v>
      </c>
      <c r="B3131" t="s">
        <v>6140</v>
      </c>
      <c r="C3131" t="s">
        <v>6141</v>
      </c>
    </row>
    <row r="3132" spans="1:3" x14ac:dyDescent="0.25">
      <c r="A3132" t="str">
        <f>"01OWM1"</f>
        <v>01OWM1</v>
      </c>
      <c r="B3132" t="s">
        <v>6142</v>
      </c>
      <c r="C3132" t="s">
        <v>6143</v>
      </c>
    </row>
    <row r="3133" spans="1:3" x14ac:dyDescent="0.25">
      <c r="A3133" t="str">
        <f>"01OQ1 "</f>
        <v xml:space="preserve">01OQ1 </v>
      </c>
      <c r="B3133" t="s">
        <v>6144</v>
      </c>
      <c r="C3133" t="s">
        <v>6145</v>
      </c>
    </row>
    <row r="3134" spans="1:3" x14ac:dyDescent="0.25">
      <c r="A3134" t="str">
        <f>"01OR1 "</f>
        <v xml:space="preserve">01OR1 </v>
      </c>
      <c r="B3134" t="s">
        <v>6146</v>
      </c>
      <c r="C3134" t="s">
        <v>6147</v>
      </c>
    </row>
    <row r="3135" spans="1:3" x14ac:dyDescent="0.25">
      <c r="A3135" t="str">
        <f>"89461 "</f>
        <v xml:space="preserve">89461 </v>
      </c>
      <c r="B3135" t="s">
        <v>6148</v>
      </c>
      <c r="C3135" t="s">
        <v>6149</v>
      </c>
    </row>
    <row r="3136" spans="1:3" x14ac:dyDescent="0.25">
      <c r="A3136" t="str">
        <f>"763214"</f>
        <v>763214</v>
      </c>
      <c r="B3136" t="s">
        <v>6150</v>
      </c>
      <c r="C3136" t="s">
        <v>6151</v>
      </c>
    </row>
    <row r="3137" spans="1:3" x14ac:dyDescent="0.25">
      <c r="A3137" t="str">
        <f>"767080"</f>
        <v>767080</v>
      </c>
      <c r="B3137" t="s">
        <v>6152</v>
      </c>
      <c r="C3137" t="s">
        <v>6153</v>
      </c>
    </row>
    <row r="3138" spans="1:3" x14ac:dyDescent="0.25">
      <c r="A3138" t="str">
        <f>"81168 "</f>
        <v xml:space="preserve">81168 </v>
      </c>
      <c r="B3138" t="s">
        <v>6154</v>
      </c>
      <c r="C3138" t="s">
        <v>6155</v>
      </c>
    </row>
    <row r="3139" spans="1:3" x14ac:dyDescent="0.25">
      <c r="A3139" t="str">
        <f>"763215"</f>
        <v>763215</v>
      </c>
      <c r="B3139" t="s">
        <v>6156</v>
      </c>
      <c r="C3139" t="s">
        <v>6157</v>
      </c>
    </row>
    <row r="3140" spans="1:3" x14ac:dyDescent="0.25">
      <c r="A3140" t="str">
        <f>"01OU1 "</f>
        <v xml:space="preserve">01OU1 </v>
      </c>
      <c r="B3140" t="s">
        <v>6158</v>
      </c>
      <c r="C3140" t="s">
        <v>6159</v>
      </c>
    </row>
    <row r="3141" spans="1:3" x14ac:dyDescent="0.25">
      <c r="A3141" t="str">
        <f>"01NE4 "</f>
        <v xml:space="preserve">01NE4 </v>
      </c>
      <c r="B3141" t="s">
        <v>6160</v>
      </c>
      <c r="C3141" t="s">
        <v>6161</v>
      </c>
    </row>
    <row r="3142" spans="1:3" x14ac:dyDescent="0.25">
      <c r="A3142" t="str">
        <f>"01OI1 "</f>
        <v xml:space="preserve">01OI1 </v>
      </c>
      <c r="B3142" t="s">
        <v>6162</v>
      </c>
      <c r="C3142" t="s">
        <v>6163</v>
      </c>
    </row>
    <row r="3143" spans="1:3" x14ac:dyDescent="0.25">
      <c r="A3143" t="str">
        <f>"01OK1 "</f>
        <v xml:space="preserve">01OK1 </v>
      </c>
      <c r="B3143" t="s">
        <v>6164</v>
      </c>
      <c r="C3143" t="s">
        <v>6165</v>
      </c>
    </row>
    <row r="3144" spans="1:3" x14ac:dyDescent="0.25">
      <c r="A3144" t="str">
        <f>"01NZ1 "</f>
        <v xml:space="preserve">01NZ1 </v>
      </c>
      <c r="B3144" t="s">
        <v>6166</v>
      </c>
      <c r="C3144" t="s">
        <v>6167</v>
      </c>
    </row>
    <row r="3145" spans="1:3" x14ac:dyDescent="0.25">
      <c r="A3145" t="str">
        <f>"01OV1 "</f>
        <v xml:space="preserve">01OV1 </v>
      </c>
      <c r="B3145" t="s">
        <v>6168</v>
      </c>
      <c r="C3145" t="s">
        <v>6169</v>
      </c>
    </row>
    <row r="3146" spans="1:3" x14ac:dyDescent="0.25">
      <c r="A3146" t="str">
        <f>"763240"</f>
        <v>763240</v>
      </c>
      <c r="B3146" t="s">
        <v>6170</v>
      </c>
      <c r="C3146" t="s">
        <v>6171</v>
      </c>
    </row>
    <row r="3147" spans="1:3" x14ac:dyDescent="0.25">
      <c r="A3147" t="str">
        <f>"01OO1 "</f>
        <v xml:space="preserve">01OO1 </v>
      </c>
      <c r="B3147" t="s">
        <v>6172</v>
      </c>
      <c r="C3147" t="s">
        <v>6173</v>
      </c>
    </row>
    <row r="3148" spans="1:3" x14ac:dyDescent="0.25">
      <c r="A3148" t="str">
        <f>"01ON1 "</f>
        <v xml:space="preserve">01ON1 </v>
      </c>
      <c r="B3148" t="s">
        <v>6174</v>
      </c>
      <c r="C3148" t="s">
        <v>6175</v>
      </c>
    </row>
    <row r="3149" spans="1:3" x14ac:dyDescent="0.25">
      <c r="A3149" t="str">
        <f>"01OM1 "</f>
        <v xml:space="preserve">01OM1 </v>
      </c>
      <c r="B3149" t="s">
        <v>6176</v>
      </c>
      <c r="C3149" t="s">
        <v>6177</v>
      </c>
    </row>
    <row r="3150" spans="1:3" x14ac:dyDescent="0.25">
      <c r="A3150" t="str">
        <f>"01OY1 "</f>
        <v xml:space="preserve">01OY1 </v>
      </c>
      <c r="B3150" t="s">
        <v>6178</v>
      </c>
      <c r="C3150" t="s">
        <v>6179</v>
      </c>
    </row>
    <row r="3151" spans="1:3" x14ac:dyDescent="0.25">
      <c r="A3151" t="str">
        <f>"99OOD "</f>
        <v xml:space="preserve">99OOD </v>
      </c>
      <c r="B3151" t="s">
        <v>6180</v>
      </c>
      <c r="C3151" t="s">
        <v>6181</v>
      </c>
    </row>
    <row r="3152" spans="1:3" x14ac:dyDescent="0.25">
      <c r="A3152" t="str">
        <f>"01OL1 "</f>
        <v xml:space="preserve">01OL1 </v>
      </c>
      <c r="B3152" t="s">
        <v>6182</v>
      </c>
      <c r="C3152" t="s">
        <v>6183</v>
      </c>
    </row>
    <row r="3153" spans="1:3" x14ac:dyDescent="0.25">
      <c r="A3153" t="str">
        <f>"01OP1 "</f>
        <v xml:space="preserve">01OP1 </v>
      </c>
      <c r="B3153" t="s">
        <v>6184</v>
      </c>
      <c r="C3153" t="s">
        <v>6185</v>
      </c>
    </row>
    <row r="3154" spans="1:3" x14ac:dyDescent="0.25">
      <c r="A3154" t="str">
        <f>"01OZ1 "</f>
        <v xml:space="preserve">01OZ1 </v>
      </c>
      <c r="B3154" t="s">
        <v>6186</v>
      </c>
      <c r="C3154" t="s">
        <v>6187</v>
      </c>
    </row>
    <row r="3155" spans="1:3" x14ac:dyDescent="0.25">
      <c r="A3155" t="str">
        <f>"01LU2 "</f>
        <v xml:space="preserve">01LU2 </v>
      </c>
      <c r="B3155" t="s">
        <v>6188</v>
      </c>
      <c r="C3155" t="s">
        <v>6189</v>
      </c>
    </row>
    <row r="3156" spans="1:3" x14ac:dyDescent="0.25">
      <c r="A3156" t="str">
        <f>"99MHSA"</f>
        <v>99MHSA</v>
      </c>
      <c r="B3156" t="s">
        <v>6190</v>
      </c>
      <c r="C3156" t="s">
        <v>6191</v>
      </c>
    </row>
    <row r="3157" spans="1:3" x14ac:dyDescent="0.25">
      <c r="A3157" t="str">
        <f>"01F32 "</f>
        <v xml:space="preserve">01F32 </v>
      </c>
      <c r="B3157" t="s">
        <v>6192</v>
      </c>
      <c r="C3157" t="s">
        <v>6193</v>
      </c>
    </row>
    <row r="3158" spans="1:3" x14ac:dyDescent="0.25">
      <c r="A3158" t="str">
        <f>"01PC1 "</f>
        <v xml:space="preserve">01PC1 </v>
      </c>
      <c r="B3158" t="s">
        <v>6194</v>
      </c>
      <c r="C3158" t="s">
        <v>6195</v>
      </c>
    </row>
    <row r="3159" spans="1:3" x14ac:dyDescent="0.25">
      <c r="A3159" t="str">
        <f>"81315 "</f>
        <v xml:space="preserve">81315 </v>
      </c>
      <c r="B3159" t="s">
        <v>6196</v>
      </c>
      <c r="C3159" t="s">
        <v>6197</v>
      </c>
    </row>
    <row r="3160" spans="1:3" x14ac:dyDescent="0.25">
      <c r="A3160" t="str">
        <f>"01O41 "</f>
        <v xml:space="preserve">01O41 </v>
      </c>
      <c r="B3160" t="s">
        <v>6198</v>
      </c>
      <c r="C3160" t="s">
        <v>6199</v>
      </c>
    </row>
    <row r="3161" spans="1:3" x14ac:dyDescent="0.25">
      <c r="A3161" t="str">
        <f>"761316"</f>
        <v>761316</v>
      </c>
      <c r="B3161" t="s">
        <v>6200</v>
      </c>
      <c r="C3161" t="s">
        <v>6201</v>
      </c>
    </row>
    <row r="3162" spans="1:3" x14ac:dyDescent="0.25">
      <c r="A3162" t="str">
        <f>"764568"</f>
        <v>764568</v>
      </c>
      <c r="B3162" t="s">
        <v>6202</v>
      </c>
      <c r="C3162" t="s">
        <v>6203</v>
      </c>
    </row>
    <row r="3163" spans="1:3" x14ac:dyDescent="0.25">
      <c r="A3163" t="str">
        <f>"764569"</f>
        <v>764569</v>
      </c>
      <c r="B3163" t="s">
        <v>6204</v>
      </c>
      <c r="C3163" t="s">
        <v>6205</v>
      </c>
    </row>
    <row r="3164" spans="1:3" x14ac:dyDescent="0.25">
      <c r="A3164" t="str">
        <f>"764570"</f>
        <v>764570</v>
      </c>
      <c r="B3164" t="s">
        <v>6206</v>
      </c>
      <c r="C3164" t="s">
        <v>6207</v>
      </c>
    </row>
    <row r="3165" spans="1:3" x14ac:dyDescent="0.25">
      <c r="A3165" t="str">
        <f>"764571"</f>
        <v>764571</v>
      </c>
      <c r="B3165" t="s">
        <v>6208</v>
      </c>
      <c r="C3165" t="s">
        <v>6209</v>
      </c>
    </row>
    <row r="3166" spans="1:3" x14ac:dyDescent="0.25">
      <c r="A3166" t="str">
        <f>"764572"</f>
        <v>764572</v>
      </c>
      <c r="B3166" t="s">
        <v>6210</v>
      </c>
      <c r="C3166" t="s">
        <v>6211</v>
      </c>
    </row>
    <row r="3167" spans="1:3" x14ac:dyDescent="0.25">
      <c r="A3167" t="str">
        <f>"81315R"</f>
        <v>81315R</v>
      </c>
      <c r="B3167" t="s">
        <v>6212</v>
      </c>
      <c r="C3167" t="s">
        <v>6213</v>
      </c>
    </row>
    <row r="3168" spans="1:3" x14ac:dyDescent="0.25">
      <c r="A3168" t="str">
        <f>"01L21 "</f>
        <v xml:space="preserve">01L21 </v>
      </c>
      <c r="B3168" t="s">
        <v>6214</v>
      </c>
      <c r="C3168" t="s">
        <v>6215</v>
      </c>
    </row>
    <row r="3169" spans="1:3" x14ac:dyDescent="0.25">
      <c r="A3169" t="str">
        <f>"764573"</f>
        <v>764573</v>
      </c>
      <c r="B3169" t="s">
        <v>6216</v>
      </c>
      <c r="C3169" t="s">
        <v>6217</v>
      </c>
    </row>
    <row r="3170" spans="1:3" x14ac:dyDescent="0.25">
      <c r="A3170" t="str">
        <f>"764574"</f>
        <v>764574</v>
      </c>
      <c r="B3170" t="s">
        <v>6218</v>
      </c>
      <c r="C3170" t="s">
        <v>6219</v>
      </c>
    </row>
    <row r="3171" spans="1:3" x14ac:dyDescent="0.25">
      <c r="A3171" t="str">
        <f>"761318"</f>
        <v>761318</v>
      </c>
      <c r="B3171" t="s">
        <v>6220</v>
      </c>
      <c r="C3171" t="s">
        <v>6221</v>
      </c>
    </row>
    <row r="3172" spans="1:3" x14ac:dyDescent="0.25">
      <c r="A3172" t="str">
        <f>"01EI2 "</f>
        <v xml:space="preserve">01EI2 </v>
      </c>
      <c r="B3172" t="s">
        <v>6222</v>
      </c>
      <c r="C3172" t="s">
        <v>6223</v>
      </c>
    </row>
    <row r="3173" spans="1:3" x14ac:dyDescent="0.25">
      <c r="A3173" t="str">
        <f>"761319"</f>
        <v>761319</v>
      </c>
      <c r="B3173" t="s">
        <v>6224</v>
      </c>
      <c r="C3173" t="s">
        <v>6225</v>
      </c>
    </row>
    <row r="3174" spans="1:3" x14ac:dyDescent="0.25">
      <c r="A3174" t="str">
        <f>"762307"</f>
        <v>762307</v>
      </c>
      <c r="B3174" t="s">
        <v>6226</v>
      </c>
      <c r="C3174" t="s">
        <v>6227</v>
      </c>
    </row>
    <row r="3175" spans="1:3" x14ac:dyDescent="0.25">
      <c r="A3175" t="str">
        <f>"761320"</f>
        <v>761320</v>
      </c>
      <c r="B3175" t="s">
        <v>6228</v>
      </c>
      <c r="C3175" t="s">
        <v>6229</v>
      </c>
    </row>
    <row r="3176" spans="1:3" x14ac:dyDescent="0.25">
      <c r="A3176" t="str">
        <f>"761321"</f>
        <v>761321</v>
      </c>
      <c r="B3176" t="s">
        <v>6230</v>
      </c>
      <c r="C3176" t="s">
        <v>6231</v>
      </c>
    </row>
    <row r="3177" spans="1:3" x14ac:dyDescent="0.25">
      <c r="A3177" t="str">
        <f>"763216"</f>
        <v>763216</v>
      </c>
      <c r="B3177" t="s">
        <v>6232</v>
      </c>
      <c r="C3177" t="s">
        <v>6233</v>
      </c>
    </row>
    <row r="3178" spans="1:3" x14ac:dyDescent="0.25">
      <c r="A3178" t="str">
        <f>"761317"</f>
        <v>761317</v>
      </c>
      <c r="B3178" t="s">
        <v>6234</v>
      </c>
      <c r="C3178" t="s">
        <v>6235</v>
      </c>
    </row>
    <row r="3179" spans="1:3" x14ac:dyDescent="0.25">
      <c r="A3179" t="str">
        <f>"01PA1 "</f>
        <v xml:space="preserve">01PA1 </v>
      </c>
      <c r="B3179" t="s">
        <v>6236</v>
      </c>
      <c r="C3179" t="s">
        <v>6237</v>
      </c>
    </row>
    <row r="3180" spans="1:3" x14ac:dyDescent="0.25">
      <c r="A3180" t="str">
        <f>"01O61 "</f>
        <v xml:space="preserve">01O61 </v>
      </c>
      <c r="B3180" t="s">
        <v>6238</v>
      </c>
      <c r="C3180" t="s">
        <v>6239</v>
      </c>
    </row>
    <row r="3181" spans="1:3" x14ac:dyDescent="0.25">
      <c r="A3181" t="str">
        <f>"01O91 "</f>
        <v xml:space="preserve">01O91 </v>
      </c>
      <c r="B3181" t="s">
        <v>6240</v>
      </c>
      <c r="C3181" t="s">
        <v>6241</v>
      </c>
    </row>
    <row r="3182" spans="1:3" x14ac:dyDescent="0.25">
      <c r="A3182" t="str">
        <f>"01O81 "</f>
        <v xml:space="preserve">01O81 </v>
      </c>
      <c r="B3182" t="s">
        <v>6242</v>
      </c>
      <c r="C3182" t="s">
        <v>6243</v>
      </c>
    </row>
    <row r="3183" spans="1:3" x14ac:dyDescent="0.25">
      <c r="A3183" t="str">
        <f>"01O71 "</f>
        <v xml:space="preserve">01O71 </v>
      </c>
      <c r="B3183" t="s">
        <v>6244</v>
      </c>
      <c r="C3183" t="s">
        <v>6245</v>
      </c>
    </row>
    <row r="3184" spans="1:3" x14ac:dyDescent="0.25">
      <c r="A3184" t="str">
        <f>"01PD1 "</f>
        <v xml:space="preserve">01PD1 </v>
      </c>
      <c r="B3184" t="s">
        <v>6246</v>
      </c>
      <c r="C3184" t="s">
        <v>6247</v>
      </c>
    </row>
    <row r="3185" spans="1:3" x14ac:dyDescent="0.25">
      <c r="A3185" t="str">
        <f>"81405 "</f>
        <v xml:space="preserve">81405 </v>
      </c>
      <c r="B3185" t="s">
        <v>6248</v>
      </c>
      <c r="C3185" t="s">
        <v>6249</v>
      </c>
    </row>
    <row r="3186" spans="1:3" x14ac:dyDescent="0.25">
      <c r="A3186" t="str">
        <f>"01N32 "</f>
        <v xml:space="preserve">01N32 </v>
      </c>
      <c r="B3186" t="s">
        <v>6250</v>
      </c>
      <c r="C3186" t="s">
        <v>6251</v>
      </c>
    </row>
    <row r="3187" spans="1:3" x14ac:dyDescent="0.25">
      <c r="A3187" t="str">
        <f>"01N33 "</f>
        <v xml:space="preserve">01N33 </v>
      </c>
      <c r="B3187" t="s">
        <v>6252</v>
      </c>
      <c r="C3187" t="s">
        <v>6253</v>
      </c>
    </row>
    <row r="3188" spans="1:3" x14ac:dyDescent="0.25">
      <c r="A3188" t="str">
        <f>"01FH2 "</f>
        <v xml:space="preserve">01FH2 </v>
      </c>
      <c r="B3188" t="s">
        <v>6254</v>
      </c>
      <c r="C3188" t="s">
        <v>6255</v>
      </c>
    </row>
    <row r="3189" spans="1:3" x14ac:dyDescent="0.25">
      <c r="A3189" t="str">
        <f>"81395 "</f>
        <v xml:space="preserve">81395 </v>
      </c>
      <c r="B3189" t="s">
        <v>6256</v>
      </c>
      <c r="C3189" t="s">
        <v>6039</v>
      </c>
    </row>
    <row r="3190" spans="1:3" x14ac:dyDescent="0.25">
      <c r="A3190" t="str">
        <f>"81383 "</f>
        <v xml:space="preserve">81383 </v>
      </c>
      <c r="B3190" t="s">
        <v>6257</v>
      </c>
      <c r="C3190" t="s">
        <v>6258</v>
      </c>
    </row>
    <row r="3191" spans="1:3" x14ac:dyDescent="0.25">
      <c r="A3191" t="str">
        <f>"81384 "</f>
        <v xml:space="preserve">81384 </v>
      </c>
      <c r="B3191" t="s">
        <v>6259</v>
      </c>
      <c r="C3191" t="s">
        <v>6260</v>
      </c>
    </row>
    <row r="3192" spans="1:3" x14ac:dyDescent="0.25">
      <c r="A3192" t="str">
        <f>"81316 "</f>
        <v xml:space="preserve">81316 </v>
      </c>
      <c r="B3192" t="s">
        <v>6261</v>
      </c>
      <c r="C3192" t="s">
        <v>6262</v>
      </c>
    </row>
    <row r="3193" spans="1:3" x14ac:dyDescent="0.25">
      <c r="A3193" t="str">
        <f>"01PF1 "</f>
        <v xml:space="preserve">01PF1 </v>
      </c>
      <c r="B3193" t="s">
        <v>6263</v>
      </c>
      <c r="C3193" t="s">
        <v>6264</v>
      </c>
    </row>
    <row r="3194" spans="1:3" x14ac:dyDescent="0.25">
      <c r="A3194" t="str">
        <f>"01O21 "</f>
        <v xml:space="preserve">01O21 </v>
      </c>
      <c r="B3194" t="s">
        <v>6265</v>
      </c>
      <c r="C3194" t="s">
        <v>6266</v>
      </c>
    </row>
    <row r="3195" spans="1:3" x14ac:dyDescent="0.25">
      <c r="A3195" t="str">
        <f>"01O31 "</f>
        <v xml:space="preserve">01O31 </v>
      </c>
      <c r="B3195" t="s">
        <v>6267</v>
      </c>
      <c r="C3195" t="s">
        <v>587</v>
      </c>
    </row>
    <row r="3196" spans="1:3" x14ac:dyDescent="0.25">
      <c r="A3196" t="str">
        <f>"01O11 "</f>
        <v xml:space="preserve">01O11 </v>
      </c>
      <c r="B3196" t="s">
        <v>6268</v>
      </c>
      <c r="C3196" t="s">
        <v>6269</v>
      </c>
    </row>
    <row r="3197" spans="1:3" x14ac:dyDescent="0.25">
      <c r="A3197" t="str">
        <f>"01PE1 "</f>
        <v xml:space="preserve">01PE1 </v>
      </c>
      <c r="B3197" t="s">
        <v>6270</v>
      </c>
      <c r="C3197" t="s">
        <v>6271</v>
      </c>
    </row>
    <row r="3198" spans="1:3" x14ac:dyDescent="0.25">
      <c r="A3198" t="str">
        <f>"01PH1 "</f>
        <v xml:space="preserve">01PH1 </v>
      </c>
      <c r="B3198" t="s">
        <v>6272</v>
      </c>
      <c r="C3198" t="s">
        <v>6273</v>
      </c>
    </row>
    <row r="3199" spans="1:3" x14ac:dyDescent="0.25">
      <c r="A3199" t="str">
        <f>"01PH2 "</f>
        <v xml:space="preserve">01PH2 </v>
      </c>
      <c r="B3199" t="s">
        <v>6274</v>
      </c>
      <c r="C3199" t="s">
        <v>6275</v>
      </c>
    </row>
    <row r="3200" spans="1:3" x14ac:dyDescent="0.25">
      <c r="A3200" t="str">
        <f>"01PH3 "</f>
        <v xml:space="preserve">01PH3 </v>
      </c>
      <c r="B3200" t="s">
        <v>6276</v>
      </c>
      <c r="C3200" t="s">
        <v>6276</v>
      </c>
    </row>
    <row r="3201" spans="1:3" x14ac:dyDescent="0.25">
      <c r="A3201" t="str">
        <f>"01PH4 "</f>
        <v xml:space="preserve">01PH4 </v>
      </c>
      <c r="B3201" t="s">
        <v>6277</v>
      </c>
      <c r="C3201" t="s">
        <v>6278</v>
      </c>
    </row>
    <row r="3202" spans="1:3" x14ac:dyDescent="0.25">
      <c r="A3202" t="str">
        <f>"01PGT2"</f>
        <v>01PGT2</v>
      </c>
      <c r="B3202" t="s">
        <v>6279</v>
      </c>
      <c r="C3202" t="s">
        <v>6280</v>
      </c>
    </row>
    <row r="3203" spans="1:3" x14ac:dyDescent="0.25">
      <c r="A3203" t="str">
        <f>"01PG2 "</f>
        <v xml:space="preserve">01PG2 </v>
      </c>
      <c r="B3203" t="s">
        <v>6281</v>
      </c>
      <c r="C3203" t="s">
        <v>6282</v>
      </c>
    </row>
    <row r="3204" spans="1:3" x14ac:dyDescent="0.25">
      <c r="A3204" t="str">
        <f>"01PH5 "</f>
        <v xml:space="preserve">01PH5 </v>
      </c>
      <c r="B3204" t="s">
        <v>6283</v>
      </c>
      <c r="C3204" t="s">
        <v>6284</v>
      </c>
    </row>
    <row r="3205" spans="1:3" x14ac:dyDescent="0.25">
      <c r="A3205" t="str">
        <f>"01PG3 "</f>
        <v xml:space="preserve">01PG3 </v>
      </c>
      <c r="B3205" t="s">
        <v>6285</v>
      </c>
      <c r="C3205" t="s">
        <v>6286</v>
      </c>
    </row>
    <row r="3206" spans="1:3" x14ac:dyDescent="0.25">
      <c r="A3206" t="str">
        <f>"01PHA6"</f>
        <v>01PHA6</v>
      </c>
      <c r="B3206" t="s">
        <v>6287</v>
      </c>
      <c r="C3206" t="s">
        <v>6288</v>
      </c>
    </row>
    <row r="3207" spans="1:3" x14ac:dyDescent="0.25">
      <c r="A3207" t="str">
        <f>"81385 "</f>
        <v xml:space="preserve">81385 </v>
      </c>
      <c r="B3207" t="s">
        <v>6289</v>
      </c>
      <c r="C3207" t="s">
        <v>6290</v>
      </c>
    </row>
    <row r="3208" spans="1:3" x14ac:dyDescent="0.25">
      <c r="A3208" t="str">
        <f>"01PGA4"</f>
        <v>01PGA4</v>
      </c>
      <c r="B3208" t="s">
        <v>6291</v>
      </c>
      <c r="C3208" t="s">
        <v>6292</v>
      </c>
    </row>
    <row r="3209" spans="1:3" x14ac:dyDescent="0.25">
      <c r="A3209" t="str">
        <f>"01FK4 "</f>
        <v xml:space="preserve">01FK4 </v>
      </c>
      <c r="B3209" t="s">
        <v>6293</v>
      </c>
      <c r="C3209" t="s">
        <v>6294</v>
      </c>
    </row>
    <row r="3210" spans="1:3" x14ac:dyDescent="0.25">
      <c r="A3210" t="str">
        <f>"01PK1 "</f>
        <v xml:space="preserve">01PK1 </v>
      </c>
      <c r="B3210" t="s">
        <v>6295</v>
      </c>
      <c r="C3210" t="s">
        <v>6296</v>
      </c>
    </row>
    <row r="3211" spans="1:3" x14ac:dyDescent="0.25">
      <c r="A3211" t="str">
        <f>"01L21R"</f>
        <v>01L21R</v>
      </c>
      <c r="B3211" t="s">
        <v>6297</v>
      </c>
      <c r="C3211" t="s">
        <v>6298</v>
      </c>
    </row>
    <row r="3212" spans="1:3" x14ac:dyDescent="0.25">
      <c r="A3212" t="str">
        <f>"01PJ1 "</f>
        <v xml:space="preserve">01PJ1 </v>
      </c>
      <c r="B3212" t="s">
        <v>6299</v>
      </c>
      <c r="C3212" t="s">
        <v>6300</v>
      </c>
    </row>
    <row r="3213" spans="1:3" x14ac:dyDescent="0.25">
      <c r="A3213" t="str">
        <f>"01PHT1"</f>
        <v>01PHT1</v>
      </c>
      <c r="B3213" t="s">
        <v>6301</v>
      </c>
      <c r="C3213" t="s">
        <v>6302</v>
      </c>
    </row>
    <row r="3214" spans="1:3" x14ac:dyDescent="0.25">
      <c r="A3214" t="str">
        <f>"764575"</f>
        <v>764575</v>
      </c>
      <c r="B3214" t="s">
        <v>6303</v>
      </c>
      <c r="C3214" t="s">
        <v>6304</v>
      </c>
    </row>
    <row r="3215" spans="1:3" x14ac:dyDescent="0.25">
      <c r="A3215" t="str">
        <f>"764576"</f>
        <v>764576</v>
      </c>
      <c r="B3215" t="s">
        <v>6305</v>
      </c>
      <c r="C3215" t="s">
        <v>6306</v>
      </c>
    </row>
    <row r="3216" spans="1:3" x14ac:dyDescent="0.25">
      <c r="A3216" t="str">
        <f>"01PH5R"</f>
        <v>01PH5R</v>
      </c>
      <c r="B3216" t="s">
        <v>6307</v>
      </c>
      <c r="C3216" t="s">
        <v>6308</v>
      </c>
    </row>
    <row r="3217" spans="1:3" x14ac:dyDescent="0.25">
      <c r="A3217" t="str">
        <f>"01PHTP"</f>
        <v>01PHTP</v>
      </c>
      <c r="B3217" t="s">
        <v>6309</v>
      </c>
      <c r="C3217" t="s">
        <v>6310</v>
      </c>
    </row>
    <row r="3218" spans="1:3" x14ac:dyDescent="0.25">
      <c r="A3218" t="str">
        <f>"01PL1 "</f>
        <v xml:space="preserve">01PL1 </v>
      </c>
      <c r="B3218" t="s">
        <v>6311</v>
      </c>
      <c r="C3218" t="s">
        <v>6312</v>
      </c>
    </row>
    <row r="3219" spans="1:3" x14ac:dyDescent="0.25">
      <c r="A3219" t="str">
        <f>"01O51 "</f>
        <v xml:space="preserve">01O51 </v>
      </c>
      <c r="B3219" t="s">
        <v>6313</v>
      </c>
      <c r="C3219" t="s">
        <v>6314</v>
      </c>
    </row>
    <row r="3220" spans="1:3" x14ac:dyDescent="0.25">
      <c r="A3220" t="str">
        <f>"01PH7 "</f>
        <v xml:space="preserve">01PH7 </v>
      </c>
      <c r="B3220" t="s">
        <v>6315</v>
      </c>
      <c r="C3220" t="s">
        <v>6316</v>
      </c>
    </row>
    <row r="3221" spans="1:3" x14ac:dyDescent="0.25">
      <c r="A3221" t="str">
        <f>"01PM1 "</f>
        <v xml:space="preserve">01PM1 </v>
      </c>
      <c r="B3221" t="s">
        <v>6317</v>
      </c>
      <c r="C3221" t="s">
        <v>6318</v>
      </c>
    </row>
    <row r="3222" spans="1:3" x14ac:dyDescent="0.25">
      <c r="A3222" t="str">
        <f>"01FB6 "</f>
        <v xml:space="preserve">01FB6 </v>
      </c>
      <c r="B3222" t="s">
        <v>6319</v>
      </c>
      <c r="C3222" t="s">
        <v>6320</v>
      </c>
    </row>
    <row r="3223" spans="1:3" x14ac:dyDescent="0.25">
      <c r="A3223" t="str">
        <f>"01O52 "</f>
        <v xml:space="preserve">01O52 </v>
      </c>
      <c r="B3223" t="s">
        <v>6321</v>
      </c>
      <c r="C3223" t="s">
        <v>6322</v>
      </c>
    </row>
    <row r="3224" spans="1:3" x14ac:dyDescent="0.25">
      <c r="A3224" t="str">
        <f>"01O53 "</f>
        <v xml:space="preserve">01O53 </v>
      </c>
      <c r="B3224" t="s">
        <v>6323</v>
      </c>
      <c r="C3224" t="s">
        <v>6324</v>
      </c>
    </row>
    <row r="3225" spans="1:3" x14ac:dyDescent="0.25">
      <c r="A3225" t="str">
        <f>"01PP1 "</f>
        <v xml:space="preserve">01PP1 </v>
      </c>
      <c r="B3225" t="s">
        <v>6325</v>
      </c>
      <c r="C3225" t="s">
        <v>6326</v>
      </c>
    </row>
    <row r="3226" spans="1:3" x14ac:dyDescent="0.25">
      <c r="A3226" t="str">
        <f>"01PQ1 "</f>
        <v xml:space="preserve">01PQ1 </v>
      </c>
      <c r="B3226" t="s">
        <v>6327</v>
      </c>
      <c r="C3226" t="s">
        <v>6326</v>
      </c>
    </row>
    <row r="3227" spans="1:3" x14ac:dyDescent="0.25">
      <c r="A3227" t="str">
        <f>"01PN1 "</f>
        <v xml:space="preserve">01PN1 </v>
      </c>
      <c r="B3227" t="s">
        <v>6328</v>
      </c>
      <c r="C3227" t="s">
        <v>6329</v>
      </c>
    </row>
    <row r="3228" spans="1:3" x14ac:dyDescent="0.25">
      <c r="A3228" t="str">
        <f>"01KY2 "</f>
        <v xml:space="preserve">01KY2 </v>
      </c>
      <c r="B3228" t="s">
        <v>6330</v>
      </c>
      <c r="C3228" t="s">
        <v>6331</v>
      </c>
    </row>
    <row r="3229" spans="1:3" x14ac:dyDescent="0.25">
      <c r="A3229" t="str">
        <f>"01HI2 "</f>
        <v xml:space="preserve">01HI2 </v>
      </c>
      <c r="B3229" t="s">
        <v>6332</v>
      </c>
      <c r="C3229" t="s">
        <v>6333</v>
      </c>
    </row>
    <row r="3230" spans="1:3" x14ac:dyDescent="0.25">
      <c r="A3230" t="str">
        <f>"01PU1 "</f>
        <v xml:space="preserve">01PU1 </v>
      </c>
      <c r="B3230" t="s">
        <v>6334</v>
      </c>
      <c r="C3230" t="s">
        <v>6335</v>
      </c>
    </row>
    <row r="3231" spans="1:3" x14ac:dyDescent="0.25">
      <c r="A3231" t="str">
        <f>"01PT1 "</f>
        <v xml:space="preserve">01PT1 </v>
      </c>
      <c r="B3231" t="s">
        <v>6336</v>
      </c>
      <c r="C3231" t="s">
        <v>6337</v>
      </c>
    </row>
    <row r="3232" spans="1:3" x14ac:dyDescent="0.25">
      <c r="A3232" t="str">
        <f>"01PR1 "</f>
        <v xml:space="preserve">01PR1 </v>
      </c>
      <c r="B3232" t="s">
        <v>6338</v>
      </c>
      <c r="C3232" t="s">
        <v>6339</v>
      </c>
    </row>
    <row r="3233" spans="1:3" x14ac:dyDescent="0.25">
      <c r="A3233" t="str">
        <f>"762308"</f>
        <v>762308</v>
      </c>
      <c r="B3233" t="s">
        <v>6340</v>
      </c>
      <c r="C3233" t="s">
        <v>6341</v>
      </c>
    </row>
    <row r="3234" spans="1:3" x14ac:dyDescent="0.25">
      <c r="A3234" t="str">
        <f>"761322"</f>
        <v>761322</v>
      </c>
      <c r="B3234" t="s">
        <v>6342</v>
      </c>
      <c r="C3234" t="s">
        <v>6343</v>
      </c>
    </row>
    <row r="3235" spans="1:3" x14ac:dyDescent="0.25">
      <c r="A3235" t="str">
        <f>"764577"</f>
        <v>764577</v>
      </c>
      <c r="B3235" t="s">
        <v>6344</v>
      </c>
      <c r="C3235" t="s">
        <v>6345</v>
      </c>
    </row>
    <row r="3236" spans="1:3" x14ac:dyDescent="0.25">
      <c r="A3236" t="str">
        <f>"764578"</f>
        <v>764578</v>
      </c>
      <c r="B3236" t="s">
        <v>6346</v>
      </c>
      <c r="C3236" t="s">
        <v>6347</v>
      </c>
    </row>
    <row r="3237" spans="1:3" x14ac:dyDescent="0.25">
      <c r="A3237" t="str">
        <f>"762309"</f>
        <v>762309</v>
      </c>
      <c r="B3237" t="s">
        <v>6348</v>
      </c>
      <c r="C3237" t="s">
        <v>6349</v>
      </c>
    </row>
    <row r="3238" spans="1:3" x14ac:dyDescent="0.25">
      <c r="A3238" t="str">
        <f>"01PX1 "</f>
        <v xml:space="preserve">01PX1 </v>
      </c>
      <c r="B3238" t="s">
        <v>6350</v>
      </c>
      <c r="C3238" t="s">
        <v>6351</v>
      </c>
    </row>
    <row r="3239" spans="1:3" x14ac:dyDescent="0.25">
      <c r="A3239" t="str">
        <f>"01PW1 "</f>
        <v xml:space="preserve">01PW1 </v>
      </c>
      <c r="B3239" t="s">
        <v>6352</v>
      </c>
      <c r="C3239" t="s">
        <v>6353</v>
      </c>
    </row>
    <row r="3240" spans="1:3" x14ac:dyDescent="0.25">
      <c r="A3240" t="str">
        <f>"01PS1 "</f>
        <v xml:space="preserve">01PS1 </v>
      </c>
      <c r="B3240" t="s">
        <v>6354</v>
      </c>
      <c r="C3240" t="s">
        <v>6355</v>
      </c>
    </row>
    <row r="3241" spans="1:3" x14ac:dyDescent="0.25">
      <c r="A3241" t="str">
        <f>"01PY1 "</f>
        <v xml:space="preserve">01PY1 </v>
      </c>
      <c r="B3241" t="s">
        <v>6356</v>
      </c>
      <c r="C3241" t="s">
        <v>6357</v>
      </c>
    </row>
    <row r="3242" spans="1:3" x14ac:dyDescent="0.25">
      <c r="A3242" t="str">
        <f>"01PJ2 "</f>
        <v xml:space="preserve">01PJ2 </v>
      </c>
      <c r="B3242" t="s">
        <v>6358</v>
      </c>
      <c r="C3242" t="s">
        <v>6359</v>
      </c>
    </row>
    <row r="3243" spans="1:3" x14ac:dyDescent="0.25">
      <c r="A3243" t="str">
        <f>"761323"</f>
        <v>761323</v>
      </c>
      <c r="B3243" t="s">
        <v>6360</v>
      </c>
      <c r="C3243" t="s">
        <v>6361</v>
      </c>
    </row>
    <row r="3244" spans="1:3" x14ac:dyDescent="0.25">
      <c r="A3244" t="str">
        <f>"767081"</f>
        <v>767081</v>
      </c>
      <c r="B3244" t="s">
        <v>6362</v>
      </c>
      <c r="C3244" t="s">
        <v>6363</v>
      </c>
    </row>
    <row r="3245" spans="1:3" x14ac:dyDescent="0.25">
      <c r="A3245" t="str">
        <f>"01PO1 "</f>
        <v xml:space="preserve">01PO1 </v>
      </c>
      <c r="B3245" t="s">
        <v>6364</v>
      </c>
      <c r="C3245" t="s">
        <v>6365</v>
      </c>
    </row>
    <row r="3246" spans="1:3" x14ac:dyDescent="0.25">
      <c r="A3246" t="str">
        <f>"01PZ1 "</f>
        <v xml:space="preserve">01PZ1 </v>
      </c>
      <c r="B3246" t="s">
        <v>6366</v>
      </c>
      <c r="C3246" t="s">
        <v>6367</v>
      </c>
    </row>
    <row r="3247" spans="1:3" x14ac:dyDescent="0.25">
      <c r="A3247" t="str">
        <f>"765025"</f>
        <v>765025</v>
      </c>
      <c r="B3247" t="s">
        <v>6368</v>
      </c>
      <c r="C3247" t="s">
        <v>6369</v>
      </c>
    </row>
    <row r="3248" spans="1:3" x14ac:dyDescent="0.25">
      <c r="A3248" t="str">
        <f>"99NORU"</f>
        <v>99NORU</v>
      </c>
      <c r="B3248" t="s">
        <v>6370</v>
      </c>
      <c r="C3248" t="s">
        <v>6371</v>
      </c>
    </row>
    <row r="3249" spans="1:3" x14ac:dyDescent="0.25">
      <c r="A3249" t="str">
        <f>"01P61 "</f>
        <v xml:space="preserve">01P61 </v>
      </c>
      <c r="B3249" t="s">
        <v>6372</v>
      </c>
      <c r="C3249" t="s">
        <v>6373</v>
      </c>
    </row>
    <row r="3250" spans="1:3" x14ac:dyDescent="0.25">
      <c r="A3250" t="str">
        <f>"01P81 "</f>
        <v xml:space="preserve">01P81 </v>
      </c>
      <c r="B3250" t="s">
        <v>6374</v>
      </c>
      <c r="C3250" t="s">
        <v>6375</v>
      </c>
    </row>
    <row r="3251" spans="1:3" x14ac:dyDescent="0.25">
      <c r="A3251" t="str">
        <f>"01P11 "</f>
        <v xml:space="preserve">01P11 </v>
      </c>
      <c r="B3251" t="s">
        <v>6376</v>
      </c>
      <c r="C3251" t="s">
        <v>6377</v>
      </c>
    </row>
    <row r="3252" spans="1:3" x14ac:dyDescent="0.25">
      <c r="A3252" t="str">
        <f>"01P51 "</f>
        <v xml:space="preserve">01P51 </v>
      </c>
      <c r="B3252" t="s">
        <v>6378</v>
      </c>
      <c r="C3252" t="s">
        <v>6379</v>
      </c>
    </row>
    <row r="3253" spans="1:3" x14ac:dyDescent="0.25">
      <c r="A3253" t="str">
        <f>"01P41 "</f>
        <v xml:space="preserve">01P41 </v>
      </c>
      <c r="B3253" t="s">
        <v>6380</v>
      </c>
      <c r="C3253" t="s">
        <v>6381</v>
      </c>
    </row>
    <row r="3254" spans="1:3" x14ac:dyDescent="0.25">
      <c r="A3254" t="str">
        <f>"766010"</f>
        <v>766010</v>
      </c>
      <c r="B3254" t="s">
        <v>6382</v>
      </c>
      <c r="C3254" t="s">
        <v>6383</v>
      </c>
    </row>
    <row r="3255" spans="1:3" x14ac:dyDescent="0.25">
      <c r="A3255" t="str">
        <f>"764579"</f>
        <v>764579</v>
      </c>
      <c r="B3255" t="s">
        <v>6384</v>
      </c>
      <c r="C3255" t="s">
        <v>6385</v>
      </c>
    </row>
    <row r="3256" spans="1:3" x14ac:dyDescent="0.25">
      <c r="A3256" t="str">
        <f>"01P71 "</f>
        <v xml:space="preserve">01P71 </v>
      </c>
      <c r="B3256" t="s">
        <v>6386</v>
      </c>
      <c r="C3256" t="s">
        <v>6387</v>
      </c>
    </row>
    <row r="3257" spans="1:3" x14ac:dyDescent="0.25">
      <c r="A3257" t="str">
        <f>"01P31 "</f>
        <v xml:space="preserve">01P31 </v>
      </c>
      <c r="B3257" t="s">
        <v>6388</v>
      </c>
      <c r="C3257" t="s">
        <v>6389</v>
      </c>
    </row>
    <row r="3258" spans="1:3" x14ac:dyDescent="0.25">
      <c r="A3258" t="str">
        <f>"01P21 "</f>
        <v xml:space="preserve">01P21 </v>
      </c>
      <c r="B3258" t="s">
        <v>6390</v>
      </c>
      <c r="C3258" t="s">
        <v>6391</v>
      </c>
    </row>
    <row r="3259" spans="1:3" x14ac:dyDescent="0.25">
      <c r="A3259" t="str">
        <f>"01OR2 "</f>
        <v xml:space="preserve">01OR2 </v>
      </c>
      <c r="B3259" t="s">
        <v>6392</v>
      </c>
      <c r="C3259" t="s">
        <v>6393</v>
      </c>
    </row>
    <row r="3260" spans="1:3" x14ac:dyDescent="0.25">
      <c r="A3260" t="str">
        <f>"01HF2 "</f>
        <v xml:space="preserve">01HF2 </v>
      </c>
      <c r="B3260" t="s">
        <v>6394</v>
      </c>
      <c r="C3260" t="s">
        <v>6395</v>
      </c>
    </row>
    <row r="3261" spans="1:3" x14ac:dyDescent="0.25">
      <c r="A3261" t="str">
        <f>"762310"</f>
        <v>762310</v>
      </c>
      <c r="B3261" t="s">
        <v>6396</v>
      </c>
      <c r="C3261" t="s">
        <v>6397</v>
      </c>
    </row>
    <row r="3262" spans="1:3" x14ac:dyDescent="0.25">
      <c r="A3262" t="str">
        <f>"762311"</f>
        <v>762311</v>
      </c>
      <c r="B3262" t="s">
        <v>6398</v>
      </c>
      <c r="C3262" t="s">
        <v>6399</v>
      </c>
    </row>
    <row r="3263" spans="1:3" x14ac:dyDescent="0.25">
      <c r="A3263" t="str">
        <f>"01QG1 "</f>
        <v xml:space="preserve">01QG1 </v>
      </c>
      <c r="B3263" t="s">
        <v>6400</v>
      </c>
      <c r="C3263" t="s">
        <v>6401</v>
      </c>
    </row>
    <row r="3264" spans="1:3" x14ac:dyDescent="0.25">
      <c r="A3264" t="str">
        <f>"01QE1 "</f>
        <v xml:space="preserve">01QE1 </v>
      </c>
      <c r="B3264" t="s">
        <v>6402</v>
      </c>
      <c r="C3264" t="s">
        <v>6403</v>
      </c>
    </row>
    <row r="3265" spans="1:3" x14ac:dyDescent="0.25">
      <c r="A3265" t="str">
        <f>"01QF1 "</f>
        <v xml:space="preserve">01QF1 </v>
      </c>
      <c r="B3265" t="s">
        <v>6404</v>
      </c>
      <c r="C3265" t="s">
        <v>6405</v>
      </c>
    </row>
    <row r="3266" spans="1:3" x14ac:dyDescent="0.25">
      <c r="A3266" t="str">
        <f>"01QH1 "</f>
        <v xml:space="preserve">01QH1 </v>
      </c>
      <c r="B3266" t="s">
        <v>6406</v>
      </c>
      <c r="C3266" t="s">
        <v>6407</v>
      </c>
    </row>
    <row r="3267" spans="1:3" x14ac:dyDescent="0.25">
      <c r="A3267" t="str">
        <f>"01QC1 "</f>
        <v xml:space="preserve">01QC1 </v>
      </c>
      <c r="B3267" t="s">
        <v>6408</v>
      </c>
      <c r="C3267" t="s">
        <v>6409</v>
      </c>
    </row>
    <row r="3268" spans="1:3" x14ac:dyDescent="0.25">
      <c r="A3268" t="str">
        <f>"01QB1 "</f>
        <v xml:space="preserve">01QB1 </v>
      </c>
      <c r="B3268" t="s">
        <v>6410</v>
      </c>
      <c r="C3268" t="s">
        <v>6411</v>
      </c>
    </row>
    <row r="3269" spans="1:3" x14ac:dyDescent="0.25">
      <c r="A3269" t="str">
        <f>"01P91 "</f>
        <v xml:space="preserve">01P91 </v>
      </c>
      <c r="B3269" t="s">
        <v>6412</v>
      </c>
      <c r="C3269" t="s">
        <v>6413</v>
      </c>
    </row>
    <row r="3270" spans="1:3" x14ac:dyDescent="0.25">
      <c r="A3270" t="str">
        <f>"01QD1 "</f>
        <v xml:space="preserve">01QD1 </v>
      </c>
      <c r="B3270" t="s">
        <v>6414</v>
      </c>
      <c r="C3270" t="s">
        <v>6415</v>
      </c>
    </row>
    <row r="3271" spans="1:3" x14ac:dyDescent="0.25">
      <c r="A3271" t="str">
        <f>"01QA1 "</f>
        <v xml:space="preserve">01QA1 </v>
      </c>
      <c r="B3271" t="s">
        <v>6416</v>
      </c>
      <c r="C3271" t="s">
        <v>6417</v>
      </c>
    </row>
    <row r="3272" spans="1:3" x14ac:dyDescent="0.25">
      <c r="A3272" t="str">
        <f>"01QJ1 "</f>
        <v xml:space="preserve">01QJ1 </v>
      </c>
      <c r="B3272" t="s">
        <v>6418</v>
      </c>
      <c r="C3272" t="s">
        <v>6419</v>
      </c>
    </row>
    <row r="3273" spans="1:3" x14ac:dyDescent="0.25">
      <c r="A3273" t="str">
        <f>"01QJ2 "</f>
        <v xml:space="preserve">01QJ2 </v>
      </c>
      <c r="B3273" t="s">
        <v>6420</v>
      </c>
      <c r="C3273" t="s">
        <v>6421</v>
      </c>
    </row>
    <row r="3274" spans="1:3" x14ac:dyDescent="0.25">
      <c r="A3274" t="str">
        <f>"01QJ3 "</f>
        <v xml:space="preserve">01QJ3 </v>
      </c>
      <c r="B3274" t="s">
        <v>6422</v>
      </c>
      <c r="C3274" t="s">
        <v>6423</v>
      </c>
    </row>
    <row r="3275" spans="1:3" x14ac:dyDescent="0.25">
      <c r="A3275" t="str">
        <f>"01IU1 "</f>
        <v xml:space="preserve">01IU1 </v>
      </c>
      <c r="B3275" t="s">
        <v>6424</v>
      </c>
      <c r="C3275" t="s">
        <v>6425</v>
      </c>
    </row>
    <row r="3276" spans="1:3" x14ac:dyDescent="0.25">
      <c r="A3276" t="str">
        <f>"01OD1 "</f>
        <v xml:space="preserve">01OD1 </v>
      </c>
      <c r="B3276" t="s">
        <v>6426</v>
      </c>
      <c r="C3276" t="s">
        <v>6427</v>
      </c>
    </row>
    <row r="3277" spans="1:3" x14ac:dyDescent="0.25">
      <c r="A3277" t="str">
        <f>"819523"</f>
        <v>819523</v>
      </c>
      <c r="B3277" t="s">
        <v>6428</v>
      </c>
      <c r="C3277" t="s">
        <v>6429</v>
      </c>
    </row>
    <row r="3278" spans="1:3" x14ac:dyDescent="0.25">
      <c r="A3278" t="str">
        <f>"01PV1 "</f>
        <v xml:space="preserve">01PV1 </v>
      </c>
      <c r="B3278" t="s">
        <v>6430</v>
      </c>
      <c r="C3278" t="s">
        <v>6431</v>
      </c>
    </row>
    <row r="3279" spans="1:3" x14ac:dyDescent="0.25">
      <c r="A3279" t="str">
        <f>"01QI1 "</f>
        <v xml:space="preserve">01QI1 </v>
      </c>
      <c r="B3279" t="s">
        <v>6432</v>
      </c>
      <c r="C3279" t="s">
        <v>6433</v>
      </c>
    </row>
    <row r="3280" spans="1:3" x14ac:dyDescent="0.25">
      <c r="A3280" t="str">
        <f>"761324"</f>
        <v>761324</v>
      </c>
      <c r="B3280" t="s">
        <v>6434</v>
      </c>
      <c r="C3280" t="s">
        <v>6435</v>
      </c>
    </row>
    <row r="3281" spans="1:3" x14ac:dyDescent="0.25">
      <c r="A3281" t="str">
        <f>"762312"</f>
        <v>762312</v>
      </c>
      <c r="B3281" t="s">
        <v>6436</v>
      </c>
      <c r="C3281" t="s">
        <v>6437</v>
      </c>
    </row>
    <row r="3282" spans="1:3" x14ac:dyDescent="0.25">
      <c r="A3282" t="str">
        <f>"764580"</f>
        <v>764580</v>
      </c>
      <c r="B3282" t="s">
        <v>6438</v>
      </c>
      <c r="C3282" t="s">
        <v>6439</v>
      </c>
    </row>
    <row r="3283" spans="1:3" x14ac:dyDescent="0.25">
      <c r="A3283" t="str">
        <f>"01QM1 "</f>
        <v xml:space="preserve">01QM1 </v>
      </c>
      <c r="B3283" t="s">
        <v>6440</v>
      </c>
      <c r="C3283" t="s">
        <v>6441</v>
      </c>
    </row>
    <row r="3284" spans="1:3" x14ac:dyDescent="0.25">
      <c r="A3284" t="str">
        <f>"01PB1 "</f>
        <v xml:space="preserve">01PB1 </v>
      </c>
      <c r="B3284" t="s">
        <v>6442</v>
      </c>
      <c r="C3284" t="s">
        <v>6443</v>
      </c>
    </row>
    <row r="3285" spans="1:3" x14ac:dyDescent="0.25">
      <c r="A3285" t="str">
        <f>"01QK1 "</f>
        <v xml:space="preserve">01QK1 </v>
      </c>
      <c r="B3285" t="s">
        <v>6444</v>
      </c>
      <c r="C3285" t="s">
        <v>6445</v>
      </c>
    </row>
    <row r="3286" spans="1:3" x14ac:dyDescent="0.25">
      <c r="A3286" t="str">
        <f>"01QL1 "</f>
        <v xml:space="preserve">01QL1 </v>
      </c>
      <c r="B3286" t="s">
        <v>6446</v>
      </c>
      <c r="C3286" t="s">
        <v>6447</v>
      </c>
    </row>
    <row r="3287" spans="1:3" x14ac:dyDescent="0.25">
      <c r="A3287" t="str">
        <f>"01PO2 "</f>
        <v xml:space="preserve">01PO2 </v>
      </c>
      <c r="B3287" t="s">
        <v>6448</v>
      </c>
      <c r="C3287" t="s">
        <v>6449</v>
      </c>
    </row>
    <row r="3288" spans="1:3" x14ac:dyDescent="0.25">
      <c r="A3288" t="str">
        <f>"763217"</f>
        <v>763217</v>
      </c>
      <c r="B3288" t="s">
        <v>6450</v>
      </c>
      <c r="C3288" t="s">
        <v>6451</v>
      </c>
    </row>
    <row r="3289" spans="1:3" x14ac:dyDescent="0.25">
      <c r="A3289" t="str">
        <f>"764581"</f>
        <v>764581</v>
      </c>
      <c r="B3289" t="s">
        <v>6452</v>
      </c>
      <c r="C3289" t="s">
        <v>6453</v>
      </c>
    </row>
    <row r="3290" spans="1:3" x14ac:dyDescent="0.25">
      <c r="A3290" t="str">
        <f>"01QP1 "</f>
        <v xml:space="preserve">01QP1 </v>
      </c>
      <c r="B3290" t="s">
        <v>6454</v>
      </c>
      <c r="C3290" t="s">
        <v>6455</v>
      </c>
    </row>
    <row r="3291" spans="1:3" x14ac:dyDescent="0.25">
      <c r="A3291" t="str">
        <f>"01QN1 "</f>
        <v xml:space="preserve">01QN1 </v>
      </c>
      <c r="B3291" t="s">
        <v>6456</v>
      </c>
      <c r="C3291" t="s">
        <v>6457</v>
      </c>
    </row>
    <row r="3292" spans="1:3" x14ac:dyDescent="0.25">
      <c r="A3292" t="str">
        <f>"01QO1 "</f>
        <v xml:space="preserve">01QO1 </v>
      </c>
      <c r="B3292" t="s">
        <v>6458</v>
      </c>
      <c r="C3292" t="s">
        <v>6459</v>
      </c>
    </row>
    <row r="3293" spans="1:3" x14ac:dyDescent="0.25">
      <c r="A3293" t="str">
        <f>"81317 "</f>
        <v xml:space="preserve">81317 </v>
      </c>
      <c r="B3293" t="s">
        <v>6460</v>
      </c>
      <c r="C3293" t="s">
        <v>6461</v>
      </c>
    </row>
    <row r="3294" spans="1:3" x14ac:dyDescent="0.25">
      <c r="A3294" t="str">
        <f>"761325"</f>
        <v>761325</v>
      </c>
      <c r="B3294" t="s">
        <v>6462</v>
      </c>
      <c r="C3294" t="s">
        <v>6463</v>
      </c>
    </row>
    <row r="3295" spans="1:3" x14ac:dyDescent="0.25">
      <c r="A3295" t="str">
        <f>"761327"</f>
        <v>761327</v>
      </c>
      <c r="B3295" t="s">
        <v>6464</v>
      </c>
      <c r="C3295" t="s">
        <v>6465</v>
      </c>
    </row>
    <row r="3296" spans="1:3" x14ac:dyDescent="0.25">
      <c r="A3296" t="str">
        <f>"767082"</f>
        <v>767082</v>
      </c>
      <c r="B3296" t="s">
        <v>6466</v>
      </c>
      <c r="C3296" t="s">
        <v>6467</v>
      </c>
    </row>
    <row r="3297" spans="1:3" x14ac:dyDescent="0.25">
      <c r="A3297" t="str">
        <f>"761326"</f>
        <v>761326</v>
      </c>
      <c r="B3297" t="s">
        <v>6468</v>
      </c>
      <c r="C3297" t="s">
        <v>6469</v>
      </c>
    </row>
    <row r="3298" spans="1:3" x14ac:dyDescent="0.25">
      <c r="A3298" t="str">
        <f>"763224"</f>
        <v>763224</v>
      </c>
      <c r="B3298" t="s">
        <v>6470</v>
      </c>
      <c r="C3298" t="s">
        <v>6471</v>
      </c>
    </row>
    <row r="3299" spans="1:3" x14ac:dyDescent="0.25">
      <c r="A3299" t="str">
        <f>"01QS1 "</f>
        <v xml:space="preserve">01QS1 </v>
      </c>
      <c r="B3299" t="s">
        <v>6472</v>
      </c>
      <c r="C3299" t="s">
        <v>6473</v>
      </c>
    </row>
    <row r="3300" spans="1:3" x14ac:dyDescent="0.25">
      <c r="A3300" t="str">
        <f>"01QQ1 "</f>
        <v xml:space="preserve">01QQ1 </v>
      </c>
      <c r="B3300" t="s">
        <v>6474</v>
      </c>
      <c r="C3300" t="s">
        <v>6475</v>
      </c>
    </row>
    <row r="3301" spans="1:3" x14ac:dyDescent="0.25">
      <c r="A3301" t="str">
        <f>"762313"</f>
        <v>762313</v>
      </c>
      <c r="B3301" t="s">
        <v>6476</v>
      </c>
      <c r="C3301" t="s">
        <v>6477</v>
      </c>
    </row>
    <row r="3302" spans="1:3" x14ac:dyDescent="0.25">
      <c r="A3302" t="str">
        <f>"761328"</f>
        <v>761328</v>
      </c>
      <c r="B3302" t="s">
        <v>6478</v>
      </c>
      <c r="C3302" t="s">
        <v>6479</v>
      </c>
    </row>
    <row r="3303" spans="1:3" x14ac:dyDescent="0.25">
      <c r="A3303" t="str">
        <f>"764582"</f>
        <v>764582</v>
      </c>
      <c r="B3303" t="s">
        <v>6480</v>
      </c>
      <c r="C3303" t="s">
        <v>6481</v>
      </c>
    </row>
    <row r="3304" spans="1:3" x14ac:dyDescent="0.25">
      <c r="A3304" t="str">
        <f>"763218"</f>
        <v>763218</v>
      </c>
      <c r="B3304" t="s">
        <v>6482</v>
      </c>
      <c r="C3304" t="s">
        <v>6483</v>
      </c>
    </row>
    <row r="3305" spans="1:3" x14ac:dyDescent="0.25">
      <c r="A3305" t="str">
        <f>"01QT1 "</f>
        <v xml:space="preserve">01QT1 </v>
      </c>
      <c r="B3305" t="s">
        <v>6484</v>
      </c>
      <c r="C3305" t="s">
        <v>6485</v>
      </c>
    </row>
    <row r="3306" spans="1:3" x14ac:dyDescent="0.25">
      <c r="A3306" t="str">
        <f>"01QU1 "</f>
        <v xml:space="preserve">01QU1 </v>
      </c>
      <c r="B3306" t="s">
        <v>6486</v>
      </c>
      <c r="C3306" t="s">
        <v>6487</v>
      </c>
    </row>
    <row r="3307" spans="1:3" x14ac:dyDescent="0.25">
      <c r="A3307" t="str">
        <f>"01QV1 "</f>
        <v xml:space="preserve">01QV1 </v>
      </c>
      <c r="B3307" t="s">
        <v>6488</v>
      </c>
      <c r="C3307" t="s">
        <v>6489</v>
      </c>
    </row>
    <row r="3308" spans="1:3" x14ac:dyDescent="0.25">
      <c r="A3308" t="str">
        <f>"764583"</f>
        <v>764583</v>
      </c>
      <c r="B3308" t="s">
        <v>6490</v>
      </c>
      <c r="C3308" t="s">
        <v>6491</v>
      </c>
    </row>
    <row r="3309" spans="1:3" x14ac:dyDescent="0.25">
      <c r="A3309" t="str">
        <f>"762314"</f>
        <v>762314</v>
      </c>
      <c r="B3309" t="s">
        <v>6492</v>
      </c>
      <c r="C3309" t="s">
        <v>6493</v>
      </c>
    </row>
    <row r="3310" spans="1:3" x14ac:dyDescent="0.25">
      <c r="A3310" t="str">
        <f>"761329"</f>
        <v>761329</v>
      </c>
      <c r="B3310" t="s">
        <v>6494</v>
      </c>
      <c r="C3310" t="s">
        <v>6495</v>
      </c>
    </row>
    <row r="3311" spans="1:3" x14ac:dyDescent="0.25">
      <c r="A3311" t="str">
        <f>"880213"</f>
        <v>880213</v>
      </c>
      <c r="B3311" t="s">
        <v>6496</v>
      </c>
      <c r="C3311" t="s">
        <v>6497</v>
      </c>
    </row>
    <row r="3312" spans="1:3" x14ac:dyDescent="0.25">
      <c r="A3312" t="str">
        <f>"01H12 "</f>
        <v xml:space="preserve">01H12 </v>
      </c>
      <c r="B3312" t="s">
        <v>6498</v>
      </c>
      <c r="C3312" t="s">
        <v>6499</v>
      </c>
    </row>
    <row r="3313" spans="1:3" x14ac:dyDescent="0.25">
      <c r="A3313" t="str">
        <f>"761330"</f>
        <v>761330</v>
      </c>
      <c r="B3313" t="s">
        <v>6500</v>
      </c>
      <c r="C3313" t="s">
        <v>6501</v>
      </c>
    </row>
    <row r="3314" spans="1:3" x14ac:dyDescent="0.25">
      <c r="A3314" t="str">
        <f>"761331"</f>
        <v>761331</v>
      </c>
      <c r="B3314" t="s">
        <v>6502</v>
      </c>
      <c r="C3314" t="s">
        <v>6503</v>
      </c>
    </row>
    <row r="3315" spans="1:3" x14ac:dyDescent="0.25">
      <c r="A3315" t="str">
        <f>"762315"</f>
        <v>762315</v>
      </c>
      <c r="B3315" t="s">
        <v>6504</v>
      </c>
      <c r="C3315" t="s">
        <v>6505</v>
      </c>
    </row>
    <row r="3316" spans="1:3" x14ac:dyDescent="0.25">
      <c r="A3316" t="str">
        <f>"01QR1 "</f>
        <v xml:space="preserve">01QR1 </v>
      </c>
      <c r="B3316" t="s">
        <v>6506</v>
      </c>
      <c r="C3316" t="s">
        <v>6507</v>
      </c>
    </row>
    <row r="3317" spans="1:3" x14ac:dyDescent="0.25">
      <c r="A3317" t="str">
        <f>"764584"</f>
        <v>764584</v>
      </c>
      <c r="B3317" t="s">
        <v>6508</v>
      </c>
      <c r="C3317" t="s">
        <v>6509</v>
      </c>
    </row>
    <row r="3318" spans="1:3" x14ac:dyDescent="0.25">
      <c r="A3318" t="str">
        <f>"767083"</f>
        <v>767083</v>
      </c>
      <c r="B3318" t="s">
        <v>6510</v>
      </c>
      <c r="C3318" t="s">
        <v>6511</v>
      </c>
    </row>
    <row r="3319" spans="1:3" x14ac:dyDescent="0.25">
      <c r="A3319" t="str">
        <f>"761332"</f>
        <v>761332</v>
      </c>
      <c r="B3319" t="s">
        <v>6512</v>
      </c>
      <c r="C3319" t="s">
        <v>6513</v>
      </c>
    </row>
    <row r="3320" spans="1:3" x14ac:dyDescent="0.25">
      <c r="A3320" t="str">
        <f>"761333"</f>
        <v>761333</v>
      </c>
      <c r="B3320" t="s">
        <v>6514</v>
      </c>
      <c r="C3320" t="s">
        <v>6515</v>
      </c>
    </row>
    <row r="3321" spans="1:3" x14ac:dyDescent="0.25">
      <c r="A3321" t="str">
        <f>"01HU2 "</f>
        <v xml:space="preserve">01HU2 </v>
      </c>
      <c r="B3321" t="s">
        <v>6516</v>
      </c>
      <c r="C3321" t="s">
        <v>6517</v>
      </c>
    </row>
    <row r="3322" spans="1:3" x14ac:dyDescent="0.25">
      <c r="A3322" t="str">
        <f>"01QW1 "</f>
        <v xml:space="preserve">01QW1 </v>
      </c>
      <c r="B3322" t="s">
        <v>6518</v>
      </c>
      <c r="C3322" t="s">
        <v>6519</v>
      </c>
    </row>
    <row r="3323" spans="1:3" x14ac:dyDescent="0.25">
      <c r="A3323" t="str">
        <f>"01QX1 "</f>
        <v xml:space="preserve">01QX1 </v>
      </c>
      <c r="B3323" t="s">
        <v>6520</v>
      </c>
      <c r="C3323" t="s">
        <v>6521</v>
      </c>
    </row>
    <row r="3324" spans="1:3" x14ac:dyDescent="0.25">
      <c r="A3324" t="str">
        <f>"81798 "</f>
        <v xml:space="preserve">81798 </v>
      </c>
      <c r="B3324" t="s">
        <v>6522</v>
      </c>
      <c r="C3324" t="s">
        <v>6523</v>
      </c>
    </row>
    <row r="3325" spans="1:3" x14ac:dyDescent="0.25">
      <c r="A3325" t="str">
        <f>"01QZ1 "</f>
        <v xml:space="preserve">01QZ1 </v>
      </c>
      <c r="B3325" t="s">
        <v>6524</v>
      </c>
      <c r="C3325" t="s">
        <v>6525</v>
      </c>
    </row>
    <row r="3326" spans="1:3" x14ac:dyDescent="0.25">
      <c r="A3326" t="str">
        <f>"761335"</f>
        <v>761335</v>
      </c>
      <c r="B3326" t="s">
        <v>6526</v>
      </c>
      <c r="C3326" t="s">
        <v>6527</v>
      </c>
    </row>
    <row r="3327" spans="1:3" x14ac:dyDescent="0.25">
      <c r="A3327" t="str">
        <f>"01QY1 "</f>
        <v xml:space="preserve">01QY1 </v>
      </c>
      <c r="B3327" t="s">
        <v>6528</v>
      </c>
      <c r="C3327" t="s">
        <v>6529</v>
      </c>
    </row>
    <row r="3328" spans="1:3" x14ac:dyDescent="0.25">
      <c r="A3328" t="str">
        <f>"763219"</f>
        <v>763219</v>
      </c>
      <c r="B3328" t="s">
        <v>6530</v>
      </c>
      <c r="C3328" t="s">
        <v>6531</v>
      </c>
    </row>
    <row r="3329" spans="1:3" x14ac:dyDescent="0.25">
      <c r="A3329" t="str">
        <f>"01RE1 "</f>
        <v xml:space="preserve">01RE1 </v>
      </c>
      <c r="B3329" t="s">
        <v>6532</v>
      </c>
      <c r="C3329" t="s">
        <v>6533</v>
      </c>
    </row>
    <row r="3330" spans="1:3" x14ac:dyDescent="0.25">
      <c r="A3330" t="str">
        <f>"763220"</f>
        <v>763220</v>
      </c>
      <c r="B3330" t="s">
        <v>6534</v>
      </c>
      <c r="C3330" t="s">
        <v>6535</v>
      </c>
    </row>
    <row r="3331" spans="1:3" x14ac:dyDescent="0.25">
      <c r="A3331" t="str">
        <f>"01RD1 "</f>
        <v xml:space="preserve">01RD1 </v>
      </c>
      <c r="B3331" t="s">
        <v>6536</v>
      </c>
      <c r="C3331" t="s">
        <v>6537</v>
      </c>
    </row>
    <row r="3332" spans="1:3" x14ac:dyDescent="0.25">
      <c r="A3332" t="str">
        <f>"01H54 "</f>
        <v xml:space="preserve">01H54 </v>
      </c>
      <c r="B3332" t="s">
        <v>6538</v>
      </c>
      <c r="C3332" t="s">
        <v>6539</v>
      </c>
    </row>
    <row r="3333" spans="1:3" x14ac:dyDescent="0.25">
      <c r="A3333" t="str">
        <f>"01Q11 "</f>
        <v xml:space="preserve">01Q11 </v>
      </c>
      <c r="B3333" t="s">
        <v>6540</v>
      </c>
      <c r="C3333" t="s">
        <v>6541</v>
      </c>
    </row>
    <row r="3334" spans="1:3" x14ac:dyDescent="0.25">
      <c r="A3334" t="str">
        <f>"01H55 "</f>
        <v xml:space="preserve">01H55 </v>
      </c>
      <c r="B3334" t="s">
        <v>6542</v>
      </c>
      <c r="C3334" t="s">
        <v>6543</v>
      </c>
    </row>
    <row r="3335" spans="1:3" x14ac:dyDescent="0.25">
      <c r="A3335" t="str">
        <f>"763221"</f>
        <v>763221</v>
      </c>
      <c r="B3335" t="s">
        <v>6544</v>
      </c>
      <c r="C3335" t="s">
        <v>6545</v>
      </c>
    </row>
    <row r="3336" spans="1:3" x14ac:dyDescent="0.25">
      <c r="A3336" t="str">
        <f>"01RC1 "</f>
        <v xml:space="preserve">01RC1 </v>
      </c>
      <c r="B3336" t="s">
        <v>6546</v>
      </c>
      <c r="C3336" t="s">
        <v>4139</v>
      </c>
    </row>
    <row r="3337" spans="1:3" x14ac:dyDescent="0.25">
      <c r="A3337" t="str">
        <f>"01KW2 "</f>
        <v xml:space="preserve">01KW2 </v>
      </c>
      <c r="B3337" t="s">
        <v>6547</v>
      </c>
      <c r="C3337" t="s">
        <v>6548</v>
      </c>
    </row>
    <row r="3338" spans="1:3" x14ac:dyDescent="0.25">
      <c r="A3338" t="str">
        <f>"01Q51 "</f>
        <v xml:space="preserve">01Q51 </v>
      </c>
      <c r="B3338" t="s">
        <v>6549</v>
      </c>
      <c r="C3338" t="s">
        <v>6550</v>
      </c>
    </row>
    <row r="3339" spans="1:3" x14ac:dyDescent="0.25">
      <c r="A3339" t="str">
        <f>"763222"</f>
        <v>763222</v>
      </c>
      <c r="B3339" t="s">
        <v>6551</v>
      </c>
      <c r="C3339" t="s">
        <v>6552</v>
      </c>
    </row>
    <row r="3340" spans="1:3" x14ac:dyDescent="0.25">
      <c r="A3340" t="str">
        <f>"01JY35"</f>
        <v>01JY35</v>
      </c>
      <c r="B3340" t="s">
        <v>6553</v>
      </c>
      <c r="C3340" t="s">
        <v>6554</v>
      </c>
    </row>
    <row r="3341" spans="1:3" x14ac:dyDescent="0.25">
      <c r="A3341" t="str">
        <f>"01JY36"</f>
        <v>01JY36</v>
      </c>
      <c r="B3341" t="s">
        <v>6555</v>
      </c>
      <c r="C3341" t="s">
        <v>6556</v>
      </c>
    </row>
    <row r="3342" spans="1:3" x14ac:dyDescent="0.25">
      <c r="A3342" t="str">
        <f>"01JY37"</f>
        <v>01JY37</v>
      </c>
      <c r="B3342" t="s">
        <v>6557</v>
      </c>
      <c r="C3342" t="s">
        <v>6558</v>
      </c>
    </row>
    <row r="3343" spans="1:3" x14ac:dyDescent="0.25">
      <c r="A3343" t="str">
        <f>"764585"</f>
        <v>764585</v>
      </c>
      <c r="B3343" t="s">
        <v>6559</v>
      </c>
      <c r="C3343" t="s">
        <v>6560</v>
      </c>
    </row>
    <row r="3344" spans="1:3" x14ac:dyDescent="0.25">
      <c r="A3344" t="str">
        <f>"764586"</f>
        <v>764586</v>
      </c>
      <c r="B3344" t="s">
        <v>6561</v>
      </c>
      <c r="C3344" t="s">
        <v>6562</v>
      </c>
    </row>
    <row r="3345" spans="1:3" x14ac:dyDescent="0.25">
      <c r="A3345" t="str">
        <f>"764587"</f>
        <v>764587</v>
      </c>
      <c r="B3345" t="s">
        <v>6563</v>
      </c>
      <c r="C3345" t="s">
        <v>6564</v>
      </c>
    </row>
    <row r="3346" spans="1:3" x14ac:dyDescent="0.25">
      <c r="A3346" t="str">
        <f>"01Q31 "</f>
        <v xml:space="preserve">01Q31 </v>
      </c>
      <c r="B3346" t="s">
        <v>6565</v>
      </c>
      <c r="C3346" t="s">
        <v>6566</v>
      </c>
    </row>
    <row r="3347" spans="1:3" x14ac:dyDescent="0.25">
      <c r="A3347" t="str">
        <f>"764592"</f>
        <v>764592</v>
      </c>
      <c r="B3347" t="s">
        <v>6567</v>
      </c>
      <c r="C3347" t="s">
        <v>6568</v>
      </c>
    </row>
    <row r="3348" spans="1:3" x14ac:dyDescent="0.25">
      <c r="A3348" t="str">
        <f>"01Q61 "</f>
        <v xml:space="preserve">01Q61 </v>
      </c>
      <c r="B3348" t="s">
        <v>6569</v>
      </c>
      <c r="C3348" t="s">
        <v>6570</v>
      </c>
    </row>
    <row r="3349" spans="1:3" x14ac:dyDescent="0.25">
      <c r="A3349" t="str">
        <f>"81318 "</f>
        <v xml:space="preserve">81318 </v>
      </c>
      <c r="B3349" t="s">
        <v>6571</v>
      </c>
      <c r="C3349" t="s">
        <v>6572</v>
      </c>
    </row>
    <row r="3350" spans="1:3" x14ac:dyDescent="0.25">
      <c r="A3350" t="str">
        <f>"01RA1 "</f>
        <v xml:space="preserve">01RA1 </v>
      </c>
      <c r="B3350" t="s">
        <v>6573</v>
      </c>
      <c r="C3350" t="s">
        <v>6574</v>
      </c>
    </row>
    <row r="3351" spans="1:3" x14ac:dyDescent="0.25">
      <c r="A3351" t="str">
        <f>"01RB1 "</f>
        <v xml:space="preserve">01RB1 </v>
      </c>
      <c r="B3351" t="s">
        <v>6575</v>
      </c>
      <c r="C3351" t="s">
        <v>6576</v>
      </c>
    </row>
    <row r="3352" spans="1:3" x14ac:dyDescent="0.25">
      <c r="A3352" t="str">
        <f>"01Q81 "</f>
        <v xml:space="preserve">01Q81 </v>
      </c>
      <c r="B3352" t="s">
        <v>6577</v>
      </c>
      <c r="C3352" t="s">
        <v>6578</v>
      </c>
    </row>
    <row r="3353" spans="1:3" x14ac:dyDescent="0.25">
      <c r="A3353" t="str">
        <f>"762316"</f>
        <v>762316</v>
      </c>
      <c r="B3353" t="s">
        <v>6579</v>
      </c>
      <c r="C3353" t="s">
        <v>6580</v>
      </c>
    </row>
    <row r="3354" spans="1:3" x14ac:dyDescent="0.25">
      <c r="A3354" t="str">
        <f>"764588"</f>
        <v>764588</v>
      </c>
      <c r="B3354" t="s">
        <v>6581</v>
      </c>
      <c r="C3354" t="s">
        <v>6582</v>
      </c>
    </row>
    <row r="3355" spans="1:3" x14ac:dyDescent="0.25">
      <c r="A3355" t="str">
        <f>"761342"</f>
        <v>761342</v>
      </c>
      <c r="B3355" t="s">
        <v>6583</v>
      </c>
      <c r="C3355" t="s">
        <v>6584</v>
      </c>
    </row>
    <row r="3356" spans="1:3" x14ac:dyDescent="0.25">
      <c r="A3356" t="str">
        <f>"764593"</f>
        <v>764593</v>
      </c>
      <c r="B3356" t="s">
        <v>6585</v>
      </c>
      <c r="C3356" t="s">
        <v>6586</v>
      </c>
    </row>
    <row r="3357" spans="1:3" x14ac:dyDescent="0.25">
      <c r="A3357" t="str">
        <f>"01Q91 "</f>
        <v xml:space="preserve">01Q91 </v>
      </c>
      <c r="B3357" t="s">
        <v>6587</v>
      </c>
      <c r="C3357" t="s">
        <v>6588</v>
      </c>
    </row>
    <row r="3358" spans="1:3" x14ac:dyDescent="0.25">
      <c r="A3358" t="str">
        <f>"01EI3 "</f>
        <v xml:space="preserve">01EI3 </v>
      </c>
      <c r="B3358" t="s">
        <v>6589</v>
      </c>
      <c r="C3358" t="s">
        <v>6590</v>
      </c>
    </row>
    <row r="3359" spans="1:3" x14ac:dyDescent="0.25">
      <c r="A3359" t="str">
        <f>"764589"</f>
        <v>764589</v>
      </c>
      <c r="B3359" t="s">
        <v>6591</v>
      </c>
      <c r="C3359" t="s">
        <v>6592</v>
      </c>
    </row>
    <row r="3360" spans="1:3" x14ac:dyDescent="0.25">
      <c r="A3360" t="str">
        <f>"761344"</f>
        <v>761344</v>
      </c>
      <c r="B3360" t="s">
        <v>6593</v>
      </c>
      <c r="C3360" t="s">
        <v>6594</v>
      </c>
    </row>
    <row r="3361" spans="1:3" x14ac:dyDescent="0.25">
      <c r="A3361" t="str">
        <f>"764590"</f>
        <v>764590</v>
      </c>
      <c r="B3361" t="s">
        <v>6595</v>
      </c>
      <c r="C3361" t="s">
        <v>6596</v>
      </c>
    </row>
    <row r="3362" spans="1:3" x14ac:dyDescent="0.25">
      <c r="A3362" t="str">
        <f>"01Q71 "</f>
        <v xml:space="preserve">01Q71 </v>
      </c>
      <c r="B3362" t="s">
        <v>6597</v>
      </c>
      <c r="C3362" t="s">
        <v>6598</v>
      </c>
    </row>
    <row r="3363" spans="1:3" x14ac:dyDescent="0.25">
      <c r="A3363" t="str">
        <f>"763223"</f>
        <v>763223</v>
      </c>
      <c r="B3363" t="s">
        <v>6599</v>
      </c>
      <c r="C3363" t="s">
        <v>6600</v>
      </c>
    </row>
    <row r="3364" spans="1:3" x14ac:dyDescent="0.25">
      <c r="A3364" t="str">
        <f>"764591"</f>
        <v>764591</v>
      </c>
      <c r="B3364" t="s">
        <v>6601</v>
      </c>
      <c r="C3364" t="s">
        <v>6602</v>
      </c>
    </row>
    <row r="3365" spans="1:3" x14ac:dyDescent="0.25">
      <c r="A3365" t="str">
        <f>"763225"</f>
        <v>763225</v>
      </c>
      <c r="B3365" t="s">
        <v>6603</v>
      </c>
      <c r="C3365" t="s">
        <v>6604</v>
      </c>
    </row>
    <row r="3366" spans="1:3" x14ac:dyDescent="0.25">
      <c r="A3366" t="str">
        <f>"01KP1 "</f>
        <v xml:space="preserve">01KP1 </v>
      </c>
      <c r="B3366" t="s">
        <v>6605</v>
      </c>
      <c r="C3366" t="s">
        <v>6606</v>
      </c>
    </row>
    <row r="3367" spans="1:3" x14ac:dyDescent="0.25">
      <c r="A3367" t="str">
        <f>"01PJM1"</f>
        <v>01PJM1</v>
      </c>
      <c r="B3367" t="s">
        <v>6607</v>
      </c>
      <c r="C3367" t="s">
        <v>6608</v>
      </c>
    </row>
    <row r="3368" spans="1:3" x14ac:dyDescent="0.25">
      <c r="A3368" t="str">
        <f>"01RF1 "</f>
        <v xml:space="preserve">01RF1 </v>
      </c>
      <c r="B3368" t="s">
        <v>6609</v>
      </c>
      <c r="C3368" t="s">
        <v>6610</v>
      </c>
    </row>
    <row r="3369" spans="1:3" x14ac:dyDescent="0.25">
      <c r="A3369" t="str">
        <f>"763226"</f>
        <v>763226</v>
      </c>
      <c r="B3369" t="s">
        <v>6611</v>
      </c>
      <c r="C3369" t="s">
        <v>6612</v>
      </c>
    </row>
    <row r="3370" spans="1:3" x14ac:dyDescent="0.25">
      <c r="A3370" t="str">
        <f>"01RDP "</f>
        <v xml:space="preserve">01RDP </v>
      </c>
      <c r="B3370" t="s">
        <v>6613</v>
      </c>
      <c r="C3370" t="s">
        <v>6614</v>
      </c>
    </row>
    <row r="3371" spans="1:3" x14ac:dyDescent="0.25">
      <c r="A3371" t="str">
        <f>"01Q92 "</f>
        <v xml:space="preserve">01Q92 </v>
      </c>
      <c r="B3371" t="s">
        <v>6615</v>
      </c>
      <c r="C3371" t="s">
        <v>6616</v>
      </c>
    </row>
    <row r="3372" spans="1:3" x14ac:dyDescent="0.25">
      <c r="A3372" t="str">
        <f>"01RG1 "</f>
        <v xml:space="preserve">01RG1 </v>
      </c>
      <c r="B3372" t="s">
        <v>6617</v>
      </c>
      <c r="C3372" t="s">
        <v>6618</v>
      </c>
    </row>
    <row r="3373" spans="1:3" x14ac:dyDescent="0.25">
      <c r="A3373" t="str">
        <f>"01RH1 "</f>
        <v xml:space="preserve">01RH1 </v>
      </c>
      <c r="B3373" t="s">
        <v>6619</v>
      </c>
      <c r="C3373" t="s">
        <v>6620</v>
      </c>
    </row>
    <row r="3374" spans="1:3" x14ac:dyDescent="0.25">
      <c r="A3374" t="str">
        <f>"01RJ1 "</f>
        <v xml:space="preserve">01RJ1 </v>
      </c>
      <c r="B3374" t="s">
        <v>6621</v>
      </c>
      <c r="C3374" t="s">
        <v>6622</v>
      </c>
    </row>
    <row r="3375" spans="1:3" x14ac:dyDescent="0.25">
      <c r="A3375" t="str">
        <f>"01GH2 "</f>
        <v xml:space="preserve">01GH2 </v>
      </c>
      <c r="B3375" t="s">
        <v>6623</v>
      </c>
      <c r="C3375" t="s">
        <v>6624</v>
      </c>
    </row>
    <row r="3376" spans="1:3" x14ac:dyDescent="0.25">
      <c r="A3376" t="str">
        <f>"01RK1 "</f>
        <v xml:space="preserve">01RK1 </v>
      </c>
      <c r="B3376" t="s">
        <v>6625</v>
      </c>
      <c r="C3376" t="s">
        <v>6626</v>
      </c>
    </row>
    <row r="3377" spans="1:3" x14ac:dyDescent="0.25">
      <c r="A3377" t="str">
        <f>"764594"</f>
        <v>764594</v>
      </c>
      <c r="B3377" t="s">
        <v>6627</v>
      </c>
      <c r="C3377" t="s">
        <v>6628</v>
      </c>
    </row>
    <row r="3378" spans="1:3" x14ac:dyDescent="0.25">
      <c r="A3378" t="str">
        <f>"01N92 "</f>
        <v xml:space="preserve">01N92 </v>
      </c>
      <c r="B3378" t="s">
        <v>6629</v>
      </c>
      <c r="C3378" t="s">
        <v>6630</v>
      </c>
    </row>
    <row r="3379" spans="1:3" x14ac:dyDescent="0.25">
      <c r="A3379" t="str">
        <f>"01N93 "</f>
        <v xml:space="preserve">01N93 </v>
      </c>
      <c r="B3379" t="s">
        <v>6631</v>
      </c>
      <c r="C3379" t="s">
        <v>6632</v>
      </c>
    </row>
    <row r="3380" spans="1:3" x14ac:dyDescent="0.25">
      <c r="A3380" t="str">
        <f>"01N94 "</f>
        <v xml:space="preserve">01N94 </v>
      </c>
      <c r="B3380" t="s">
        <v>6633</v>
      </c>
      <c r="C3380" t="s">
        <v>6634</v>
      </c>
    </row>
    <row r="3381" spans="1:3" x14ac:dyDescent="0.25">
      <c r="A3381" t="str">
        <f>"763227"</f>
        <v>763227</v>
      </c>
      <c r="B3381" t="s">
        <v>6635</v>
      </c>
      <c r="C3381" t="s">
        <v>6636</v>
      </c>
    </row>
    <row r="3382" spans="1:3" x14ac:dyDescent="0.25">
      <c r="A3382" t="str">
        <f>"762317"</f>
        <v>762317</v>
      </c>
      <c r="B3382" t="s">
        <v>6637</v>
      </c>
      <c r="C3382" t="s">
        <v>6638</v>
      </c>
    </row>
    <row r="3383" spans="1:3" x14ac:dyDescent="0.25">
      <c r="A3383" t="str">
        <f>"763228"</f>
        <v>763228</v>
      </c>
      <c r="B3383" t="s">
        <v>6639</v>
      </c>
      <c r="C3383" t="s">
        <v>6640</v>
      </c>
    </row>
    <row r="3384" spans="1:3" x14ac:dyDescent="0.25">
      <c r="A3384" t="str">
        <f>"01RL1 "</f>
        <v xml:space="preserve">01RL1 </v>
      </c>
      <c r="B3384" t="s">
        <v>6641</v>
      </c>
      <c r="C3384" t="s">
        <v>6642</v>
      </c>
    </row>
    <row r="3385" spans="1:3" x14ac:dyDescent="0.25">
      <c r="A3385" t="str">
        <f>"01NE2 "</f>
        <v xml:space="preserve">01NE2 </v>
      </c>
      <c r="B3385" t="s">
        <v>6643</v>
      </c>
      <c r="C3385" t="s">
        <v>6644</v>
      </c>
    </row>
    <row r="3386" spans="1:3" x14ac:dyDescent="0.25">
      <c r="A3386" t="str">
        <f>"01RM1 "</f>
        <v xml:space="preserve">01RM1 </v>
      </c>
      <c r="B3386" t="s">
        <v>6645</v>
      </c>
      <c r="C3386" t="s">
        <v>6646</v>
      </c>
    </row>
    <row r="3387" spans="1:3" x14ac:dyDescent="0.25">
      <c r="A3387" t="str">
        <f>"01RN1 "</f>
        <v xml:space="preserve">01RN1 </v>
      </c>
      <c r="B3387" t="s">
        <v>6647</v>
      </c>
      <c r="C3387" t="s">
        <v>6648</v>
      </c>
    </row>
    <row r="3388" spans="1:3" x14ac:dyDescent="0.25">
      <c r="A3388" t="str">
        <f>"01RR1 "</f>
        <v xml:space="preserve">01RR1 </v>
      </c>
      <c r="B3388" t="s">
        <v>6649</v>
      </c>
      <c r="C3388" t="s">
        <v>6650</v>
      </c>
    </row>
    <row r="3389" spans="1:3" x14ac:dyDescent="0.25">
      <c r="A3389" t="str">
        <f>"01RO1 "</f>
        <v xml:space="preserve">01RO1 </v>
      </c>
      <c r="B3389" t="s">
        <v>6651</v>
      </c>
      <c r="C3389" t="s">
        <v>6652</v>
      </c>
    </row>
    <row r="3390" spans="1:3" x14ac:dyDescent="0.25">
      <c r="A3390" t="str">
        <f>"01RQ1 "</f>
        <v xml:space="preserve">01RQ1 </v>
      </c>
      <c r="B3390" t="s">
        <v>6653</v>
      </c>
      <c r="C3390" t="s">
        <v>6654</v>
      </c>
    </row>
    <row r="3391" spans="1:3" x14ac:dyDescent="0.25">
      <c r="A3391" t="str">
        <f>"01RU1 "</f>
        <v xml:space="preserve">01RU1 </v>
      </c>
      <c r="B3391" t="s">
        <v>6655</v>
      </c>
      <c r="C3391" t="s">
        <v>6656</v>
      </c>
    </row>
    <row r="3392" spans="1:3" x14ac:dyDescent="0.25">
      <c r="A3392" t="str">
        <f>"01RT1 "</f>
        <v xml:space="preserve">01RT1 </v>
      </c>
      <c r="B3392" t="s">
        <v>6657</v>
      </c>
      <c r="C3392" t="s">
        <v>6658</v>
      </c>
    </row>
    <row r="3393" spans="1:3" x14ac:dyDescent="0.25">
      <c r="A3393" t="str">
        <f>"01RP1 "</f>
        <v xml:space="preserve">01RP1 </v>
      </c>
      <c r="B3393" t="s">
        <v>6659</v>
      </c>
      <c r="C3393" t="s">
        <v>6660</v>
      </c>
    </row>
    <row r="3394" spans="1:3" x14ac:dyDescent="0.25">
      <c r="A3394" t="str">
        <f>"02007 "</f>
        <v xml:space="preserve">02007 </v>
      </c>
      <c r="B3394" t="s">
        <v>6661</v>
      </c>
      <c r="C3394" t="s">
        <v>6662</v>
      </c>
    </row>
    <row r="3395" spans="1:3" x14ac:dyDescent="0.25">
      <c r="A3395" t="str">
        <f>"01RY1 "</f>
        <v xml:space="preserve">01RY1 </v>
      </c>
      <c r="B3395" t="s">
        <v>6663</v>
      </c>
      <c r="C3395" t="s">
        <v>6664</v>
      </c>
    </row>
    <row r="3396" spans="1:3" x14ac:dyDescent="0.25">
      <c r="A3396" t="str">
        <f>"01RX1 "</f>
        <v xml:space="preserve">01RX1 </v>
      </c>
      <c r="B3396" t="s">
        <v>6665</v>
      </c>
      <c r="C3396" t="s">
        <v>6666</v>
      </c>
    </row>
    <row r="3397" spans="1:3" x14ac:dyDescent="0.25">
      <c r="A3397" t="str">
        <f>"01Q93 "</f>
        <v xml:space="preserve">01Q93 </v>
      </c>
      <c r="B3397" t="s">
        <v>6667</v>
      </c>
      <c r="C3397" t="s">
        <v>6668</v>
      </c>
    </row>
    <row r="3398" spans="1:3" x14ac:dyDescent="0.25">
      <c r="A3398" t="str">
        <f>"01RV1 "</f>
        <v xml:space="preserve">01RV1 </v>
      </c>
      <c r="B3398" t="s">
        <v>6669</v>
      </c>
      <c r="C3398" t="s">
        <v>6670</v>
      </c>
    </row>
    <row r="3399" spans="1:3" x14ac:dyDescent="0.25">
      <c r="A3399" t="str">
        <f>"81386 "</f>
        <v xml:space="preserve">81386 </v>
      </c>
      <c r="B3399" t="s">
        <v>6671</v>
      </c>
      <c r="C3399" t="s">
        <v>6672</v>
      </c>
    </row>
    <row r="3400" spans="1:3" x14ac:dyDescent="0.25">
      <c r="A3400" t="str">
        <f>"81386P"</f>
        <v>81386P</v>
      </c>
      <c r="B3400" t="s">
        <v>6673</v>
      </c>
      <c r="C3400" t="s">
        <v>6674</v>
      </c>
    </row>
    <row r="3401" spans="1:3" x14ac:dyDescent="0.25">
      <c r="A3401" t="str">
        <f>"81273 "</f>
        <v xml:space="preserve">81273 </v>
      </c>
      <c r="B3401" t="s">
        <v>6675</v>
      </c>
      <c r="C3401" t="s">
        <v>6676</v>
      </c>
    </row>
    <row r="3402" spans="1:3" x14ac:dyDescent="0.25">
      <c r="A3402" t="str">
        <f>"81273P"</f>
        <v>81273P</v>
      </c>
      <c r="B3402" t="s">
        <v>6677</v>
      </c>
      <c r="C3402" t="s">
        <v>6678</v>
      </c>
    </row>
    <row r="3403" spans="1:3" x14ac:dyDescent="0.25">
      <c r="A3403" t="str">
        <f>"01GS2 "</f>
        <v xml:space="preserve">01GS2 </v>
      </c>
      <c r="B3403" t="s">
        <v>6679</v>
      </c>
      <c r="C3403" t="s">
        <v>6680</v>
      </c>
    </row>
    <row r="3404" spans="1:3" x14ac:dyDescent="0.25">
      <c r="A3404" t="str">
        <f>"01EM3 "</f>
        <v xml:space="preserve">01EM3 </v>
      </c>
      <c r="B3404" t="s">
        <v>6681</v>
      </c>
      <c r="C3404" t="s">
        <v>6682</v>
      </c>
    </row>
    <row r="3405" spans="1:3" x14ac:dyDescent="0.25">
      <c r="A3405" t="str">
        <f>"01EM3P"</f>
        <v>01EM3P</v>
      </c>
      <c r="B3405" t="s">
        <v>6683</v>
      </c>
      <c r="C3405" t="s">
        <v>6684</v>
      </c>
    </row>
    <row r="3406" spans="1:3" x14ac:dyDescent="0.25">
      <c r="A3406" t="str">
        <f>"01RW1 "</f>
        <v xml:space="preserve">01RW1 </v>
      </c>
      <c r="B3406" t="s">
        <v>6685</v>
      </c>
      <c r="C3406" t="s">
        <v>6686</v>
      </c>
    </row>
    <row r="3407" spans="1:3" x14ac:dyDescent="0.25">
      <c r="A3407" t="str">
        <f>"01RZ1 "</f>
        <v xml:space="preserve">01RZ1 </v>
      </c>
      <c r="B3407" t="s">
        <v>6687</v>
      </c>
      <c r="C3407" t="s">
        <v>6688</v>
      </c>
    </row>
    <row r="3408" spans="1:3" x14ac:dyDescent="0.25">
      <c r="A3408" t="str">
        <f>"81177P"</f>
        <v>81177P</v>
      </c>
      <c r="B3408" t="s">
        <v>6689</v>
      </c>
      <c r="C3408" t="s">
        <v>6690</v>
      </c>
    </row>
    <row r="3409" spans="1:3" x14ac:dyDescent="0.25">
      <c r="A3409" t="str">
        <f>"01GS2P"</f>
        <v>01GS2P</v>
      </c>
      <c r="B3409" t="s">
        <v>6691</v>
      </c>
      <c r="C3409" t="s">
        <v>6692</v>
      </c>
    </row>
    <row r="3410" spans="1:3" x14ac:dyDescent="0.25">
      <c r="A3410" t="str">
        <f>"81176P"</f>
        <v>81176P</v>
      </c>
      <c r="B3410" t="s">
        <v>6693</v>
      </c>
      <c r="C3410" t="s">
        <v>6694</v>
      </c>
    </row>
    <row r="3411" spans="1:3" x14ac:dyDescent="0.25">
      <c r="A3411" t="str">
        <f>"81952 "</f>
        <v xml:space="preserve">81952 </v>
      </c>
      <c r="B3411" t="s">
        <v>6695</v>
      </c>
      <c r="C3411" t="s">
        <v>6696</v>
      </c>
    </row>
    <row r="3412" spans="1:3" x14ac:dyDescent="0.25">
      <c r="A3412" t="str">
        <f>"81952P"</f>
        <v>81952P</v>
      </c>
      <c r="B3412" t="s">
        <v>6697</v>
      </c>
      <c r="C3412" t="s">
        <v>4740</v>
      </c>
    </row>
    <row r="3413" spans="1:3" x14ac:dyDescent="0.25">
      <c r="A3413" t="str">
        <f>"819524"</f>
        <v>819524</v>
      </c>
      <c r="B3413" t="s">
        <v>6698</v>
      </c>
      <c r="C3413" t="s">
        <v>6699</v>
      </c>
    </row>
    <row r="3414" spans="1:3" x14ac:dyDescent="0.25">
      <c r="A3414" t="str">
        <f>"01R11 "</f>
        <v xml:space="preserve">01R11 </v>
      </c>
      <c r="B3414" t="s">
        <v>6700</v>
      </c>
      <c r="C3414" t="s">
        <v>6701</v>
      </c>
    </row>
    <row r="3415" spans="1:3" x14ac:dyDescent="0.25">
      <c r="A3415" t="str">
        <f>"01R41 "</f>
        <v xml:space="preserve">01R41 </v>
      </c>
      <c r="B3415" t="s">
        <v>6702</v>
      </c>
      <c r="C3415" t="s">
        <v>6703</v>
      </c>
    </row>
    <row r="3416" spans="1:3" x14ac:dyDescent="0.25">
      <c r="A3416" t="str">
        <f>"81342 "</f>
        <v xml:space="preserve">81342 </v>
      </c>
      <c r="B3416" t="s">
        <v>6704</v>
      </c>
      <c r="C3416" t="s">
        <v>6705</v>
      </c>
    </row>
    <row r="3417" spans="1:3" x14ac:dyDescent="0.25">
      <c r="A3417" t="str">
        <f>"01R21 "</f>
        <v xml:space="preserve">01R21 </v>
      </c>
      <c r="B3417" t="s">
        <v>6706</v>
      </c>
      <c r="C3417" t="s">
        <v>6707</v>
      </c>
    </row>
    <row r="3418" spans="1:3" x14ac:dyDescent="0.25">
      <c r="A3418" t="str">
        <f>"01R71 "</f>
        <v xml:space="preserve">01R71 </v>
      </c>
      <c r="B3418" t="s">
        <v>6708</v>
      </c>
      <c r="C3418" t="s">
        <v>6709</v>
      </c>
    </row>
    <row r="3419" spans="1:3" x14ac:dyDescent="0.25">
      <c r="A3419" t="str">
        <f>"01R72 "</f>
        <v xml:space="preserve">01R72 </v>
      </c>
      <c r="B3419" t="s">
        <v>6710</v>
      </c>
      <c r="C3419" t="s">
        <v>6711</v>
      </c>
    </row>
    <row r="3420" spans="1:3" x14ac:dyDescent="0.25">
      <c r="A3420" t="str">
        <f>"01FE1 "</f>
        <v xml:space="preserve">01FE1 </v>
      </c>
      <c r="B3420" t="s">
        <v>6712</v>
      </c>
      <c r="C3420" t="s">
        <v>6713</v>
      </c>
    </row>
    <row r="3421" spans="1:3" x14ac:dyDescent="0.25">
      <c r="A3421" t="str">
        <f>"761345"</f>
        <v>761345</v>
      </c>
      <c r="B3421" t="s">
        <v>6714</v>
      </c>
      <c r="C3421" t="s">
        <v>6715</v>
      </c>
    </row>
    <row r="3422" spans="1:3" x14ac:dyDescent="0.25">
      <c r="A3422" t="str">
        <f>"880310"</f>
        <v>880310</v>
      </c>
      <c r="B3422" t="s">
        <v>6716</v>
      </c>
      <c r="C3422" t="s">
        <v>6717</v>
      </c>
    </row>
    <row r="3423" spans="1:3" x14ac:dyDescent="0.25">
      <c r="A3423" t="str">
        <f>"764595"</f>
        <v>764595</v>
      </c>
      <c r="B3423" t="s">
        <v>6718</v>
      </c>
      <c r="C3423" t="s">
        <v>6719</v>
      </c>
    </row>
    <row r="3424" spans="1:3" x14ac:dyDescent="0.25">
      <c r="A3424" t="str">
        <f>"01R51 "</f>
        <v xml:space="preserve">01R51 </v>
      </c>
      <c r="B3424" t="s">
        <v>6720</v>
      </c>
      <c r="C3424" t="s">
        <v>6721</v>
      </c>
    </row>
    <row r="3425" spans="1:3" x14ac:dyDescent="0.25">
      <c r="A3425" t="str">
        <f>"01RS1 "</f>
        <v xml:space="preserve">01RS1 </v>
      </c>
      <c r="B3425" t="s">
        <v>6722</v>
      </c>
      <c r="C3425" t="s">
        <v>6723</v>
      </c>
    </row>
    <row r="3426" spans="1:3" x14ac:dyDescent="0.25">
      <c r="A3426" t="str">
        <f>"764596"</f>
        <v>764596</v>
      </c>
      <c r="B3426" t="s">
        <v>6724</v>
      </c>
      <c r="C3426" t="s">
        <v>6725</v>
      </c>
    </row>
    <row r="3427" spans="1:3" x14ac:dyDescent="0.25">
      <c r="A3427" t="str">
        <f>"01R91 "</f>
        <v xml:space="preserve">01R91 </v>
      </c>
      <c r="B3427" t="s">
        <v>6726</v>
      </c>
      <c r="C3427" t="s">
        <v>6727</v>
      </c>
    </row>
    <row r="3428" spans="1:3" x14ac:dyDescent="0.25">
      <c r="A3428" t="str">
        <f>"01R52 "</f>
        <v xml:space="preserve">01R52 </v>
      </c>
      <c r="B3428" t="s">
        <v>6728</v>
      </c>
      <c r="C3428" t="s">
        <v>6729</v>
      </c>
    </row>
    <row r="3429" spans="1:3" x14ac:dyDescent="0.25">
      <c r="A3429" t="str">
        <f>"764597"</f>
        <v>764597</v>
      </c>
      <c r="B3429" t="s">
        <v>6730</v>
      </c>
      <c r="C3429" t="s">
        <v>6731</v>
      </c>
    </row>
    <row r="3430" spans="1:3" x14ac:dyDescent="0.25">
      <c r="A3430" t="str">
        <f>"01R81 "</f>
        <v xml:space="preserve">01R81 </v>
      </c>
      <c r="B3430" t="s">
        <v>6732</v>
      </c>
      <c r="C3430" t="s">
        <v>6733</v>
      </c>
    </row>
    <row r="3431" spans="1:3" x14ac:dyDescent="0.25">
      <c r="A3431" t="str">
        <f>"01R82 "</f>
        <v xml:space="preserve">01R82 </v>
      </c>
      <c r="B3431" t="s">
        <v>6734</v>
      </c>
      <c r="C3431" t="s">
        <v>6735</v>
      </c>
    </row>
    <row r="3432" spans="1:3" x14ac:dyDescent="0.25">
      <c r="A3432" t="str">
        <f>"01R31 "</f>
        <v xml:space="preserve">01R31 </v>
      </c>
      <c r="B3432" t="s">
        <v>6736</v>
      </c>
      <c r="C3432" t="s">
        <v>6737</v>
      </c>
    </row>
    <row r="3433" spans="1:3" x14ac:dyDescent="0.25">
      <c r="A3433" t="str">
        <f>"01SA1 "</f>
        <v xml:space="preserve">01SA1 </v>
      </c>
      <c r="B3433" t="s">
        <v>6738</v>
      </c>
      <c r="C3433" t="s">
        <v>6739</v>
      </c>
    </row>
    <row r="3434" spans="1:3" x14ac:dyDescent="0.25">
      <c r="A3434" t="str">
        <f>"761346"</f>
        <v>761346</v>
      </c>
      <c r="B3434" t="s">
        <v>6740</v>
      </c>
      <c r="C3434" t="s">
        <v>6741</v>
      </c>
    </row>
    <row r="3435" spans="1:3" x14ac:dyDescent="0.25">
      <c r="A3435" t="str">
        <f>"01SB1 "</f>
        <v xml:space="preserve">01SB1 </v>
      </c>
      <c r="B3435" t="s">
        <v>6742</v>
      </c>
      <c r="C3435" t="s">
        <v>6743</v>
      </c>
    </row>
    <row r="3436" spans="1:3" x14ac:dyDescent="0.25">
      <c r="A3436" t="str">
        <f>"763229"</f>
        <v>763229</v>
      </c>
      <c r="B3436" t="s">
        <v>6744</v>
      </c>
      <c r="C3436" t="s">
        <v>6745</v>
      </c>
    </row>
    <row r="3437" spans="1:3" x14ac:dyDescent="0.25">
      <c r="A3437" t="str">
        <f>"01PJ3 "</f>
        <v xml:space="preserve">01PJ3 </v>
      </c>
      <c r="B3437" t="s">
        <v>6746</v>
      </c>
      <c r="C3437" t="s">
        <v>6747</v>
      </c>
    </row>
    <row r="3438" spans="1:3" x14ac:dyDescent="0.25">
      <c r="A3438" t="str">
        <f>"764598"</f>
        <v>764598</v>
      </c>
      <c r="B3438" t="s">
        <v>6748</v>
      </c>
      <c r="C3438" t="s">
        <v>6749</v>
      </c>
    </row>
    <row r="3439" spans="1:3" x14ac:dyDescent="0.25">
      <c r="A3439" t="str">
        <f>"01SE1 "</f>
        <v xml:space="preserve">01SE1 </v>
      </c>
      <c r="B3439" t="s">
        <v>6750</v>
      </c>
      <c r="C3439" t="s">
        <v>6751</v>
      </c>
    </row>
    <row r="3440" spans="1:3" x14ac:dyDescent="0.25">
      <c r="A3440" t="str">
        <f>"01SE2 "</f>
        <v xml:space="preserve">01SE2 </v>
      </c>
      <c r="B3440" t="s">
        <v>6752</v>
      </c>
      <c r="C3440" t="s">
        <v>6753</v>
      </c>
    </row>
    <row r="3441" spans="1:3" x14ac:dyDescent="0.25">
      <c r="A3441" t="str">
        <f>"767084"</f>
        <v>767084</v>
      </c>
      <c r="B3441" t="s">
        <v>6754</v>
      </c>
      <c r="C3441" t="s">
        <v>6755</v>
      </c>
    </row>
    <row r="3442" spans="1:3" x14ac:dyDescent="0.25">
      <c r="A3442" t="str">
        <f>"767085"</f>
        <v>767085</v>
      </c>
      <c r="B3442" t="s">
        <v>6756</v>
      </c>
      <c r="C3442" t="s">
        <v>6757</v>
      </c>
    </row>
    <row r="3443" spans="1:3" x14ac:dyDescent="0.25">
      <c r="A3443" t="str">
        <f>"767086"</f>
        <v>767086</v>
      </c>
      <c r="B3443" t="s">
        <v>6758</v>
      </c>
      <c r="C3443" t="s">
        <v>6759</v>
      </c>
    </row>
    <row r="3444" spans="1:3" x14ac:dyDescent="0.25">
      <c r="A3444" t="str">
        <f>"767087"</f>
        <v>767087</v>
      </c>
      <c r="B3444" t="s">
        <v>6760</v>
      </c>
      <c r="C3444" t="s">
        <v>6761</v>
      </c>
    </row>
    <row r="3445" spans="1:3" x14ac:dyDescent="0.25">
      <c r="A3445" t="str">
        <f>"767088"</f>
        <v>767088</v>
      </c>
      <c r="B3445" t="s">
        <v>6762</v>
      </c>
      <c r="C3445" t="s">
        <v>6763</v>
      </c>
    </row>
    <row r="3446" spans="1:3" x14ac:dyDescent="0.25">
      <c r="A3446" t="str">
        <f>"763230"</f>
        <v>763230</v>
      </c>
      <c r="B3446" t="s">
        <v>6764</v>
      </c>
      <c r="C3446" t="s">
        <v>6765</v>
      </c>
    </row>
    <row r="3447" spans="1:3" x14ac:dyDescent="0.25">
      <c r="A3447" t="str">
        <f>"762318"</f>
        <v>762318</v>
      </c>
      <c r="B3447" t="s">
        <v>6766</v>
      </c>
      <c r="C3447" t="s">
        <v>6767</v>
      </c>
    </row>
    <row r="3448" spans="1:3" x14ac:dyDescent="0.25">
      <c r="A3448" t="str">
        <f>"01GQ2 "</f>
        <v xml:space="preserve">01GQ2 </v>
      </c>
      <c r="B3448" t="s">
        <v>6768</v>
      </c>
      <c r="C3448" t="s">
        <v>6769</v>
      </c>
    </row>
    <row r="3449" spans="1:3" x14ac:dyDescent="0.25">
      <c r="A3449" t="str">
        <f>"764599"</f>
        <v>764599</v>
      </c>
      <c r="B3449" t="s">
        <v>6770</v>
      </c>
      <c r="C3449" t="s">
        <v>6771</v>
      </c>
    </row>
    <row r="3450" spans="1:3" x14ac:dyDescent="0.25">
      <c r="A3450" t="str">
        <f>"763231"</f>
        <v>763231</v>
      </c>
      <c r="B3450" t="s">
        <v>6772</v>
      </c>
      <c r="C3450" t="s">
        <v>6773</v>
      </c>
    </row>
    <row r="3451" spans="1:3" x14ac:dyDescent="0.25">
      <c r="A3451" t="str">
        <f>"763232"</f>
        <v>763232</v>
      </c>
      <c r="B3451" t="s">
        <v>6774</v>
      </c>
      <c r="C3451" t="s">
        <v>6775</v>
      </c>
    </row>
    <row r="3452" spans="1:3" x14ac:dyDescent="0.25">
      <c r="A3452" t="str">
        <f>"763233"</f>
        <v>763233</v>
      </c>
      <c r="B3452" t="s">
        <v>6776</v>
      </c>
      <c r="C3452" t="s">
        <v>6777</v>
      </c>
    </row>
    <row r="3453" spans="1:3" x14ac:dyDescent="0.25">
      <c r="A3453" t="str">
        <f>"764600"</f>
        <v>764600</v>
      </c>
      <c r="B3453" t="s">
        <v>6778</v>
      </c>
      <c r="C3453" t="s">
        <v>6779</v>
      </c>
    </row>
    <row r="3454" spans="1:3" x14ac:dyDescent="0.25">
      <c r="A3454" t="str">
        <f>"764601"</f>
        <v>764601</v>
      </c>
      <c r="B3454" t="s">
        <v>6780</v>
      </c>
      <c r="C3454" t="s">
        <v>6781</v>
      </c>
    </row>
    <row r="3455" spans="1:3" x14ac:dyDescent="0.25">
      <c r="A3455" t="str">
        <f>"01ML2 "</f>
        <v xml:space="preserve">01ML2 </v>
      </c>
      <c r="B3455" t="s">
        <v>6782</v>
      </c>
      <c r="C3455" t="s">
        <v>6783</v>
      </c>
    </row>
    <row r="3456" spans="1:3" x14ac:dyDescent="0.25">
      <c r="A3456" t="str">
        <f>"70043 "</f>
        <v xml:space="preserve">70043 </v>
      </c>
      <c r="B3456" t="s">
        <v>6784</v>
      </c>
      <c r="C3456" t="s">
        <v>6785</v>
      </c>
    </row>
    <row r="3457" spans="1:3" x14ac:dyDescent="0.25">
      <c r="A3457" t="str">
        <f>"81396 "</f>
        <v xml:space="preserve">81396 </v>
      </c>
      <c r="B3457" t="s">
        <v>6786</v>
      </c>
      <c r="C3457" t="s">
        <v>6787</v>
      </c>
    </row>
    <row r="3458" spans="1:3" x14ac:dyDescent="0.25">
      <c r="A3458" t="str">
        <f>"763234"</f>
        <v>763234</v>
      </c>
      <c r="B3458" t="s">
        <v>6788</v>
      </c>
      <c r="C3458" t="s">
        <v>6789</v>
      </c>
    </row>
    <row r="3459" spans="1:3" x14ac:dyDescent="0.25">
      <c r="A3459" t="str">
        <f>"762319"</f>
        <v>762319</v>
      </c>
      <c r="B3459" t="s">
        <v>6790</v>
      </c>
      <c r="C3459" t="s">
        <v>6791</v>
      </c>
    </row>
    <row r="3460" spans="1:3" x14ac:dyDescent="0.25">
      <c r="A3460" t="str">
        <f>"01Q21 "</f>
        <v xml:space="preserve">01Q21 </v>
      </c>
      <c r="B3460" t="s">
        <v>6792</v>
      </c>
      <c r="C3460" t="s">
        <v>6793</v>
      </c>
    </row>
    <row r="3461" spans="1:3" x14ac:dyDescent="0.25">
      <c r="A3461" t="str">
        <f>"01Q22 "</f>
        <v xml:space="preserve">01Q22 </v>
      </c>
      <c r="B3461" t="s">
        <v>6794</v>
      </c>
      <c r="C3461" t="s">
        <v>6795</v>
      </c>
    </row>
    <row r="3462" spans="1:3" x14ac:dyDescent="0.25">
      <c r="A3462" t="str">
        <f>"01Q23 "</f>
        <v xml:space="preserve">01Q23 </v>
      </c>
      <c r="B3462" t="s">
        <v>6796</v>
      </c>
      <c r="C3462" t="s">
        <v>6797</v>
      </c>
    </row>
    <row r="3463" spans="1:3" x14ac:dyDescent="0.25">
      <c r="A3463" t="str">
        <f>"01Q24 "</f>
        <v xml:space="preserve">01Q24 </v>
      </c>
      <c r="B3463" t="s">
        <v>6798</v>
      </c>
      <c r="C3463" t="s">
        <v>6799</v>
      </c>
    </row>
    <row r="3464" spans="1:3" x14ac:dyDescent="0.25">
      <c r="A3464" t="str">
        <f>"01Q25 "</f>
        <v xml:space="preserve">01Q25 </v>
      </c>
      <c r="B3464" t="s">
        <v>6800</v>
      </c>
      <c r="C3464" t="s">
        <v>6801</v>
      </c>
    </row>
    <row r="3465" spans="1:3" x14ac:dyDescent="0.25">
      <c r="A3465" t="str">
        <f>"01Q26 "</f>
        <v xml:space="preserve">01Q26 </v>
      </c>
      <c r="B3465" t="s">
        <v>6802</v>
      </c>
      <c r="C3465" t="s">
        <v>6803</v>
      </c>
    </row>
    <row r="3466" spans="1:3" x14ac:dyDescent="0.25">
      <c r="A3466" t="str">
        <f>"763235"</f>
        <v>763235</v>
      </c>
      <c r="B3466" t="s">
        <v>6804</v>
      </c>
      <c r="C3466" t="s">
        <v>6805</v>
      </c>
    </row>
    <row r="3467" spans="1:3" x14ac:dyDescent="0.25">
      <c r="A3467" t="str">
        <f>"763236"</f>
        <v>763236</v>
      </c>
      <c r="B3467" t="s">
        <v>6806</v>
      </c>
      <c r="C3467" t="s">
        <v>6807</v>
      </c>
    </row>
    <row r="3468" spans="1:3" x14ac:dyDescent="0.25">
      <c r="A3468" t="str">
        <f>"01HR2 "</f>
        <v xml:space="preserve">01HR2 </v>
      </c>
      <c r="B3468" t="s">
        <v>6808</v>
      </c>
      <c r="C3468" t="s">
        <v>6809</v>
      </c>
    </row>
    <row r="3469" spans="1:3" x14ac:dyDescent="0.25">
      <c r="A3469" t="str">
        <f>"01NE3 "</f>
        <v xml:space="preserve">01NE3 </v>
      </c>
      <c r="B3469" t="s">
        <v>6810</v>
      </c>
      <c r="C3469" t="s">
        <v>6811</v>
      </c>
    </row>
    <row r="3470" spans="1:3" x14ac:dyDescent="0.25">
      <c r="A3470" t="str">
        <f>"762320"</f>
        <v>762320</v>
      </c>
      <c r="B3470" t="s">
        <v>6812</v>
      </c>
      <c r="C3470" t="s">
        <v>6813</v>
      </c>
    </row>
    <row r="3471" spans="1:3" x14ac:dyDescent="0.25">
      <c r="A3471" t="str">
        <f>"01QN2 "</f>
        <v xml:space="preserve">01QN2 </v>
      </c>
      <c r="B3471" t="s">
        <v>6814</v>
      </c>
      <c r="C3471" t="s">
        <v>6815</v>
      </c>
    </row>
    <row r="3472" spans="1:3" x14ac:dyDescent="0.25">
      <c r="A3472" t="str">
        <f>"763237"</f>
        <v>763237</v>
      </c>
      <c r="B3472" t="s">
        <v>6816</v>
      </c>
      <c r="C3472" t="s">
        <v>6817</v>
      </c>
    </row>
    <row r="3473" spans="1:3" x14ac:dyDescent="0.25">
      <c r="A3473" t="str">
        <f>"01QS2 "</f>
        <v xml:space="preserve">01QS2 </v>
      </c>
      <c r="B3473" t="s">
        <v>6818</v>
      </c>
      <c r="C3473" t="s">
        <v>6819</v>
      </c>
    </row>
    <row r="3474" spans="1:3" x14ac:dyDescent="0.25">
      <c r="A3474" t="str">
        <f>"767089"</f>
        <v>767089</v>
      </c>
      <c r="B3474" t="s">
        <v>6820</v>
      </c>
      <c r="C3474" t="s">
        <v>6820</v>
      </c>
    </row>
    <row r="3475" spans="1:3" x14ac:dyDescent="0.25">
      <c r="A3475" t="str">
        <f>"767090"</f>
        <v>767090</v>
      </c>
      <c r="B3475" t="s">
        <v>6821</v>
      </c>
      <c r="C3475" t="s">
        <v>6822</v>
      </c>
    </row>
    <row r="3476" spans="1:3" x14ac:dyDescent="0.25">
      <c r="A3476" t="str">
        <f>"767091"</f>
        <v>767091</v>
      </c>
      <c r="B3476" t="s">
        <v>6823</v>
      </c>
      <c r="C3476" t="s">
        <v>6824</v>
      </c>
    </row>
    <row r="3477" spans="1:3" x14ac:dyDescent="0.25">
      <c r="A3477" t="str">
        <f>"767092"</f>
        <v>767092</v>
      </c>
      <c r="B3477" t="s">
        <v>6825</v>
      </c>
      <c r="C3477" t="s">
        <v>6826</v>
      </c>
    </row>
    <row r="3478" spans="1:3" x14ac:dyDescent="0.25">
      <c r="A3478" t="str">
        <f>"01GQ3 "</f>
        <v xml:space="preserve">01GQ3 </v>
      </c>
      <c r="B3478" t="s">
        <v>6827</v>
      </c>
      <c r="C3478" t="s">
        <v>6828</v>
      </c>
    </row>
    <row r="3479" spans="1:3" x14ac:dyDescent="0.25">
      <c r="A3479" t="str">
        <f>"762321"</f>
        <v>762321</v>
      </c>
      <c r="B3479" t="s">
        <v>6829</v>
      </c>
      <c r="C3479" t="s">
        <v>6830</v>
      </c>
    </row>
    <row r="3480" spans="1:3" x14ac:dyDescent="0.25">
      <c r="A3480" t="str">
        <f>"761347"</f>
        <v>761347</v>
      </c>
      <c r="B3480" t="s">
        <v>6831</v>
      </c>
      <c r="C3480" t="s">
        <v>6832</v>
      </c>
    </row>
    <row r="3481" spans="1:3" x14ac:dyDescent="0.25">
      <c r="A3481" t="str">
        <f>"761348"</f>
        <v>761348</v>
      </c>
      <c r="B3481" t="s">
        <v>6833</v>
      </c>
      <c r="C3481" t="s">
        <v>6834</v>
      </c>
    </row>
    <row r="3482" spans="1:3" x14ac:dyDescent="0.25">
      <c r="A3482" t="str">
        <f>"65051 "</f>
        <v xml:space="preserve">65051 </v>
      </c>
      <c r="B3482" t="s">
        <v>6835</v>
      </c>
      <c r="C3482" t="s">
        <v>6836</v>
      </c>
    </row>
    <row r="3483" spans="1:3" x14ac:dyDescent="0.25">
      <c r="A3483" t="str">
        <f>"65052 "</f>
        <v xml:space="preserve">65052 </v>
      </c>
      <c r="B3483" t="s">
        <v>6837</v>
      </c>
      <c r="C3483" t="s">
        <v>6838</v>
      </c>
    </row>
    <row r="3484" spans="1:3" x14ac:dyDescent="0.25">
      <c r="A3484" t="str">
        <f>"65053 "</f>
        <v xml:space="preserve">65053 </v>
      </c>
      <c r="B3484" t="s">
        <v>6839</v>
      </c>
      <c r="C3484" t="s">
        <v>6840</v>
      </c>
    </row>
    <row r="3485" spans="1:3" x14ac:dyDescent="0.25">
      <c r="A3485" t="str">
        <f>"65054 "</f>
        <v xml:space="preserve">65054 </v>
      </c>
      <c r="B3485" t="s">
        <v>6841</v>
      </c>
      <c r="C3485" t="s">
        <v>6842</v>
      </c>
    </row>
    <row r="3486" spans="1:3" x14ac:dyDescent="0.25">
      <c r="A3486" t="str">
        <f>"650510"</f>
        <v>650510</v>
      </c>
      <c r="B3486" t="s">
        <v>6843</v>
      </c>
      <c r="C3486" t="s">
        <v>6844</v>
      </c>
    </row>
    <row r="3487" spans="1:3" x14ac:dyDescent="0.25">
      <c r="A3487" t="str">
        <f>"766011"</f>
        <v>766011</v>
      </c>
      <c r="B3487" t="s">
        <v>6845</v>
      </c>
      <c r="C3487" t="s">
        <v>6846</v>
      </c>
    </row>
    <row r="3488" spans="1:3" x14ac:dyDescent="0.25">
      <c r="A3488" t="str">
        <f>"764602"</f>
        <v>764602</v>
      </c>
      <c r="B3488" t="s">
        <v>6847</v>
      </c>
      <c r="C3488" t="s">
        <v>6848</v>
      </c>
    </row>
    <row r="3489" spans="1:3" x14ac:dyDescent="0.25">
      <c r="A3489" t="str">
        <f>"01L22 "</f>
        <v xml:space="preserve">01L22 </v>
      </c>
      <c r="B3489" t="s">
        <v>6849</v>
      </c>
      <c r="C3489" t="s">
        <v>6850</v>
      </c>
    </row>
    <row r="3490" spans="1:3" x14ac:dyDescent="0.25">
      <c r="A3490" t="str">
        <f>"01L22P"</f>
        <v>01L22P</v>
      </c>
      <c r="B3490" t="s">
        <v>6851</v>
      </c>
      <c r="C3490" t="s">
        <v>6852</v>
      </c>
    </row>
    <row r="3491" spans="1:3" x14ac:dyDescent="0.25">
      <c r="A3491" t="str">
        <f>"01RD2 "</f>
        <v xml:space="preserve">01RD2 </v>
      </c>
      <c r="B3491" t="s">
        <v>6853</v>
      </c>
      <c r="C3491" t="s">
        <v>6854</v>
      </c>
    </row>
    <row r="3492" spans="1:3" x14ac:dyDescent="0.25">
      <c r="A3492" t="str">
        <f>"764603"</f>
        <v>764603</v>
      </c>
      <c r="B3492" t="s">
        <v>6855</v>
      </c>
      <c r="C3492" t="s">
        <v>6856</v>
      </c>
    </row>
    <row r="3493" spans="1:3" x14ac:dyDescent="0.25">
      <c r="A3493" t="str">
        <f>"01E93 "</f>
        <v xml:space="preserve">01E93 </v>
      </c>
      <c r="B3493" t="s">
        <v>6857</v>
      </c>
      <c r="C3493" t="s">
        <v>6858</v>
      </c>
    </row>
    <row r="3494" spans="1:3" x14ac:dyDescent="0.25">
      <c r="A3494" t="str">
        <f>"763238"</f>
        <v>763238</v>
      </c>
      <c r="B3494" t="s">
        <v>6859</v>
      </c>
      <c r="C3494" t="s">
        <v>6860</v>
      </c>
    </row>
    <row r="3495" spans="1:3" x14ac:dyDescent="0.25">
      <c r="A3495" t="str">
        <f>"763239"</f>
        <v>763239</v>
      </c>
      <c r="B3495" t="s">
        <v>6861</v>
      </c>
      <c r="C3495" t="s">
        <v>6862</v>
      </c>
    </row>
    <row r="3496" spans="1:3" x14ac:dyDescent="0.25">
      <c r="A3496" t="str">
        <f>"761349"</f>
        <v>761349</v>
      </c>
      <c r="B3496" t="s">
        <v>6863</v>
      </c>
      <c r="C3496" t="s">
        <v>6864</v>
      </c>
    </row>
    <row r="3497" spans="1:3" x14ac:dyDescent="0.25">
      <c r="A3497" t="str">
        <f>"01L23 "</f>
        <v xml:space="preserve">01L23 </v>
      </c>
      <c r="B3497" t="s">
        <v>6865</v>
      </c>
      <c r="C3497" t="s">
        <v>6866</v>
      </c>
    </row>
    <row r="3498" spans="1:3" x14ac:dyDescent="0.25">
      <c r="A3498" t="str">
        <f>"01L24 "</f>
        <v xml:space="preserve">01L24 </v>
      </c>
      <c r="B3498" t="s">
        <v>6867</v>
      </c>
      <c r="C3498" t="s">
        <v>6868</v>
      </c>
    </row>
    <row r="3499" spans="1:3" x14ac:dyDescent="0.25">
      <c r="A3499" t="str">
        <f>"761350"</f>
        <v>761350</v>
      </c>
      <c r="B3499" t="s">
        <v>6869</v>
      </c>
      <c r="C3499" t="s">
        <v>6870</v>
      </c>
    </row>
    <row r="3500" spans="1:3" x14ac:dyDescent="0.25">
      <c r="A3500" t="str">
        <f>"01EE3 "</f>
        <v xml:space="preserve">01EE3 </v>
      </c>
      <c r="B3500" t="s">
        <v>6871</v>
      </c>
      <c r="C3500" t="s">
        <v>6872</v>
      </c>
    </row>
    <row r="3501" spans="1:3" x14ac:dyDescent="0.25">
      <c r="A3501" t="str">
        <f>"767093"</f>
        <v>767093</v>
      </c>
      <c r="B3501" t="s">
        <v>6873</v>
      </c>
      <c r="C3501" t="s">
        <v>6874</v>
      </c>
    </row>
    <row r="3502" spans="1:3" x14ac:dyDescent="0.25">
      <c r="A3502" t="str">
        <f>"01NE3P"</f>
        <v>01NE3P</v>
      </c>
      <c r="B3502" t="s">
        <v>6875</v>
      </c>
      <c r="C3502" t="s">
        <v>6876</v>
      </c>
    </row>
    <row r="3503" spans="1:3" x14ac:dyDescent="0.25">
      <c r="A3503" t="str">
        <f>"761351"</f>
        <v>761351</v>
      </c>
      <c r="B3503" t="s">
        <v>6877</v>
      </c>
      <c r="C3503" t="s">
        <v>6878</v>
      </c>
    </row>
    <row r="3504" spans="1:3" x14ac:dyDescent="0.25">
      <c r="A3504" t="str">
        <f>"761352"</f>
        <v>761352</v>
      </c>
      <c r="B3504" t="s">
        <v>6879</v>
      </c>
      <c r="C3504" t="s">
        <v>6880</v>
      </c>
    </row>
    <row r="3505" spans="1:3" x14ac:dyDescent="0.25">
      <c r="A3505" t="str">
        <f>"81179 "</f>
        <v xml:space="preserve">81179 </v>
      </c>
      <c r="B3505" t="s">
        <v>6881</v>
      </c>
      <c r="C3505" t="s">
        <v>6882</v>
      </c>
    </row>
    <row r="3506" spans="1:3" x14ac:dyDescent="0.25">
      <c r="A3506" t="str">
        <f>"811710"</f>
        <v>811710</v>
      </c>
      <c r="B3506" t="s">
        <v>6883</v>
      </c>
      <c r="C3506" t="s">
        <v>6884</v>
      </c>
    </row>
    <row r="3507" spans="1:3" x14ac:dyDescent="0.25">
      <c r="A3507" t="str">
        <f>"764604"</f>
        <v>764604</v>
      </c>
      <c r="B3507" t="s">
        <v>6885</v>
      </c>
      <c r="C3507" t="s">
        <v>6886</v>
      </c>
    </row>
    <row r="3508" spans="1:3" x14ac:dyDescent="0.25">
      <c r="A3508" t="str">
        <f>"99WDET"</f>
        <v>99WDET</v>
      </c>
      <c r="B3508" t="s">
        <v>6887</v>
      </c>
      <c r="C3508" t="s">
        <v>6888</v>
      </c>
    </row>
    <row r="3509" spans="1:3" x14ac:dyDescent="0.25">
      <c r="A3509" t="str">
        <f>"99OOMD"</f>
        <v>99OOMD</v>
      </c>
      <c r="B3509" t="s">
        <v>6889</v>
      </c>
      <c r="C3509" t="s">
        <v>6890</v>
      </c>
    </row>
    <row r="3510" spans="1:3" x14ac:dyDescent="0.25">
      <c r="A3510" t="str">
        <f>"99AFBH"</f>
        <v>99AFBH</v>
      </c>
      <c r="B3510" t="s">
        <v>6891</v>
      </c>
      <c r="C3510" t="s">
        <v>6892</v>
      </c>
    </row>
    <row r="3511" spans="1:3" x14ac:dyDescent="0.25">
      <c r="A3511" t="str">
        <f>"99HSU "</f>
        <v xml:space="preserve">99HSU </v>
      </c>
      <c r="B3511" t="s">
        <v>6893</v>
      </c>
      <c r="C3511" t="s">
        <v>6894</v>
      </c>
    </row>
    <row r="3512" spans="1:3" x14ac:dyDescent="0.25">
      <c r="A3512" t="str">
        <f>"99UMU "</f>
        <v xml:space="preserve">99UMU </v>
      </c>
      <c r="B3512" t="s">
        <v>6895</v>
      </c>
      <c r="C3512" t="s">
        <v>6896</v>
      </c>
    </row>
    <row r="3513" spans="1:3" x14ac:dyDescent="0.25">
      <c r="A3513" t="str">
        <f>"99QAM "</f>
        <v xml:space="preserve">99QAM </v>
      </c>
      <c r="B3513" t="s">
        <v>6897</v>
      </c>
      <c r="C3513" t="s">
        <v>6898</v>
      </c>
    </row>
    <row r="3514" spans="1:3" x14ac:dyDescent="0.25">
      <c r="A3514" t="str">
        <f>"99FSU "</f>
        <v xml:space="preserve">99FSU </v>
      </c>
      <c r="B3514" t="s">
        <v>6899</v>
      </c>
      <c r="C3514" t="s">
        <v>6900</v>
      </c>
    </row>
    <row r="3515" spans="1:3" x14ac:dyDescent="0.25">
      <c r="A3515" t="str">
        <f>"99CRU "</f>
        <v xml:space="preserve">99CRU </v>
      </c>
      <c r="B3515" t="s">
        <v>6901</v>
      </c>
      <c r="C3515" t="s">
        <v>6902</v>
      </c>
    </row>
    <row r="3516" spans="1:3" x14ac:dyDescent="0.25">
      <c r="A3516" t="str">
        <f>"99ISU "</f>
        <v xml:space="preserve">99ISU </v>
      </c>
      <c r="B3516" t="s">
        <v>6903</v>
      </c>
      <c r="C3516" t="s">
        <v>6904</v>
      </c>
    </row>
    <row r="3517" spans="1:3" x14ac:dyDescent="0.25">
      <c r="A3517" t="str">
        <f>"99MSDA"</f>
        <v>99MSDA</v>
      </c>
      <c r="B3517" t="s">
        <v>6905</v>
      </c>
      <c r="C3517" t="s">
        <v>6906</v>
      </c>
    </row>
    <row r="3518" spans="1:3" x14ac:dyDescent="0.25">
      <c r="A3518" t="str">
        <f>"99CSS "</f>
        <v xml:space="preserve">99CSS </v>
      </c>
      <c r="B3518" t="s">
        <v>6907</v>
      </c>
      <c r="C3518" t="s">
        <v>6908</v>
      </c>
    </row>
    <row r="3519" spans="1:3" x14ac:dyDescent="0.25">
      <c r="A3519" t="str">
        <f>"999CU "</f>
        <v xml:space="preserve">999CU </v>
      </c>
      <c r="B3519" t="s">
        <v>6909</v>
      </c>
      <c r="C3519" t="s">
        <v>6910</v>
      </c>
    </row>
    <row r="3520" spans="1:3" x14ac:dyDescent="0.25">
      <c r="A3520" t="str">
        <f>"999CRU"</f>
        <v>999CRU</v>
      </c>
      <c r="B3520" t="s">
        <v>6911</v>
      </c>
      <c r="C3520" t="s">
        <v>6912</v>
      </c>
    </row>
    <row r="3521" spans="1:3" x14ac:dyDescent="0.25">
      <c r="A3521" t="str">
        <f>"99BBSU"</f>
        <v>99BBSU</v>
      </c>
      <c r="B3521" t="s">
        <v>6913</v>
      </c>
      <c r="C3521" t="s">
        <v>6914</v>
      </c>
    </row>
    <row r="3522" spans="1:3" x14ac:dyDescent="0.25">
      <c r="A3522" t="str">
        <f>"999AU "</f>
        <v xml:space="preserve">999AU </v>
      </c>
      <c r="B3522" t="s">
        <v>6915</v>
      </c>
      <c r="C3522" t="s">
        <v>6916</v>
      </c>
    </row>
    <row r="3523" spans="1:3" x14ac:dyDescent="0.25">
      <c r="A3523" t="str">
        <f>"02008 "</f>
        <v xml:space="preserve">02008 </v>
      </c>
      <c r="B3523" t="s">
        <v>6917</v>
      </c>
      <c r="C3523" t="s">
        <v>6918</v>
      </c>
    </row>
    <row r="3524" spans="1:3" x14ac:dyDescent="0.25">
      <c r="A3524" t="str">
        <f>"761353"</f>
        <v>761353</v>
      </c>
      <c r="B3524" t="s">
        <v>6919</v>
      </c>
      <c r="C3524" t="s">
        <v>6920</v>
      </c>
    </row>
    <row r="3525" spans="1:3" x14ac:dyDescent="0.25">
      <c r="A3525" t="str">
        <f>"761354"</f>
        <v>761354</v>
      </c>
      <c r="B3525" t="s">
        <v>6921</v>
      </c>
      <c r="C3525" t="s">
        <v>6922</v>
      </c>
    </row>
    <row r="3526" spans="1:3" x14ac:dyDescent="0.25">
      <c r="A3526" t="str">
        <f>"761355"</f>
        <v>761355</v>
      </c>
      <c r="B3526" t="s">
        <v>6923</v>
      </c>
      <c r="C3526" t="s">
        <v>6924</v>
      </c>
    </row>
    <row r="3527" spans="1:3" x14ac:dyDescent="0.25">
      <c r="A3527" t="str">
        <f>"767094"</f>
        <v>767094</v>
      </c>
      <c r="B3527" t="s">
        <v>6925</v>
      </c>
      <c r="C3527" t="s">
        <v>6926</v>
      </c>
    </row>
    <row r="3528" spans="1:3" x14ac:dyDescent="0.25">
      <c r="A3528" t="str">
        <f>"764605"</f>
        <v>764605</v>
      </c>
      <c r="B3528" t="s">
        <v>6927</v>
      </c>
      <c r="C3528" t="s">
        <v>6928</v>
      </c>
    </row>
    <row r="3529" spans="1:3" x14ac:dyDescent="0.25">
      <c r="A3529" t="str">
        <f>"01SE3 "</f>
        <v xml:space="preserve">01SE3 </v>
      </c>
      <c r="B3529" t="s">
        <v>6929</v>
      </c>
      <c r="C3529" t="s">
        <v>6930</v>
      </c>
    </row>
    <row r="3530" spans="1:3" x14ac:dyDescent="0.25">
      <c r="A3530" t="str">
        <f>"764606"</f>
        <v>764606</v>
      </c>
      <c r="B3530" t="s">
        <v>6931</v>
      </c>
      <c r="C3530" t="s">
        <v>6932</v>
      </c>
    </row>
    <row r="3531" spans="1:3" x14ac:dyDescent="0.25">
      <c r="A3531" t="str">
        <f>"764607"</f>
        <v>764607</v>
      </c>
      <c r="B3531" t="s">
        <v>6933</v>
      </c>
      <c r="C3531" t="s">
        <v>6934</v>
      </c>
    </row>
  </sheetData>
  <autoFilter ref="A1:C3531" xr:uid="{00043352-BF09-4D14-89AF-2F111310A33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Martinez</dc:creator>
  <cp:lastModifiedBy>Laura Martinez</cp:lastModifiedBy>
  <dcterms:created xsi:type="dcterms:W3CDTF">2021-03-04T17:08:30Z</dcterms:created>
  <dcterms:modified xsi:type="dcterms:W3CDTF">2021-03-04T17:43:31Z</dcterms:modified>
</cp:coreProperties>
</file>